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<sst xmlns="http://schemas.openxmlformats.org/spreadsheetml/2006/main" count="1026" uniqueCount="190">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</sst>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0" sqref="D10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21" t="s">
        <v>188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92"/>
      <c r="S1" s="93"/>
    </row>
    <row r="2" spans="2:19" s="1" customFormat="1" ht="15.75" customHeight="1">
      <c r="B2" s="422"/>
      <c r="C2" s="422"/>
      <c r="D2" s="42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89"/>
      <c r="N3" s="431" t="s">
        <v>183</v>
      </c>
      <c r="O3" s="432" t="s">
        <v>184</v>
      </c>
      <c r="P3" s="432"/>
      <c r="Q3" s="432"/>
      <c r="R3" s="432"/>
      <c r="S3" s="432"/>
    </row>
    <row r="4" spans="1:19" ht="22.5" customHeight="1">
      <c r="A4" s="423"/>
      <c r="B4" s="425"/>
      <c r="C4" s="426"/>
      <c r="D4" s="427"/>
      <c r="E4" s="433" t="s">
        <v>179</v>
      </c>
      <c r="F4" s="415" t="s">
        <v>34</v>
      </c>
      <c r="G4" s="408" t="s">
        <v>180</v>
      </c>
      <c r="H4" s="417" t="s">
        <v>181</v>
      </c>
      <c r="I4" s="408" t="s">
        <v>122</v>
      </c>
      <c r="J4" s="417" t="s">
        <v>123</v>
      </c>
      <c r="K4" s="91" t="s">
        <v>186</v>
      </c>
      <c r="L4" s="250" t="s">
        <v>185</v>
      </c>
      <c r="M4" s="96" t="s">
        <v>64</v>
      </c>
      <c r="N4" s="417"/>
      <c r="O4" s="419" t="s">
        <v>189</v>
      </c>
      <c r="P4" s="408" t="s">
        <v>50</v>
      </c>
      <c r="Q4" s="410" t="s">
        <v>49</v>
      </c>
      <c r="R4" s="97" t="s">
        <v>65</v>
      </c>
      <c r="S4" s="98" t="s">
        <v>64</v>
      </c>
    </row>
    <row r="5" spans="1:19" ht="67.5" customHeight="1">
      <c r="A5" s="424"/>
      <c r="B5" s="425"/>
      <c r="C5" s="426"/>
      <c r="D5" s="427"/>
      <c r="E5" s="434"/>
      <c r="F5" s="416"/>
      <c r="G5" s="409"/>
      <c r="H5" s="418"/>
      <c r="I5" s="409"/>
      <c r="J5" s="418"/>
      <c r="K5" s="411" t="s">
        <v>182</v>
      </c>
      <c r="L5" s="412"/>
      <c r="M5" s="413"/>
      <c r="N5" s="418"/>
      <c r="O5" s="420"/>
      <c r="P5" s="409"/>
      <c r="Q5" s="410"/>
      <c r="R5" s="411" t="s">
        <v>120</v>
      </c>
      <c r="S5" s="413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499536.28</v>
      </c>
      <c r="F8" s="191">
        <f>F9+F15+F18+F19+F20+F37+F17</f>
        <v>515915.18</v>
      </c>
      <c r="G8" s="191">
        <f aca="true" t="shared" si="0" ref="G8:G37">F8-E8</f>
        <v>16378.899999999965</v>
      </c>
      <c r="H8" s="192">
        <f>F8/E8*100</f>
        <v>103.27882090966445</v>
      </c>
      <c r="I8" s="193">
        <f>F8-D8</f>
        <v>-325134.82</v>
      </c>
      <c r="J8" s="193">
        <f>F8/D8*100</f>
        <v>61.34179656381904</v>
      </c>
      <c r="K8" s="191">
        <f>366772.22</f>
        <v>366772.22</v>
      </c>
      <c r="L8" s="191">
        <f aca="true" t="shared" si="1" ref="L8:L15">F8-K8</f>
        <v>149142.96000000002</v>
      </c>
      <c r="M8" s="251">
        <f aca="true" t="shared" si="2" ref="M8:M15">F8/K8</f>
        <v>1.4066364677237553</v>
      </c>
      <c r="N8" s="191">
        <f>N9+N15+N18+N19+N20+N17</f>
        <v>79300.50000000003</v>
      </c>
      <c r="O8" s="191">
        <f>O9+O15+O18+O19+O20+O17</f>
        <v>50403.75</v>
      </c>
      <c r="P8" s="191">
        <f>O8-N8</f>
        <v>-28896.75000000003</v>
      </c>
      <c r="Q8" s="191">
        <f>O8/N8*100</f>
        <v>63.560444133391314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284423.71</v>
      </c>
      <c r="G9" s="190">
        <f t="shared" si="0"/>
        <v>20699.440000000002</v>
      </c>
      <c r="H9" s="197">
        <f>F9/E9*100</f>
        <v>107.84889460495994</v>
      </c>
      <c r="I9" s="198">
        <f>F9-D9</f>
        <v>-175276.28999999998</v>
      </c>
      <c r="J9" s="198">
        <f>F9/D9*100</f>
        <v>61.87159234283228</v>
      </c>
      <c r="K9" s="199">
        <v>203434.44</v>
      </c>
      <c r="L9" s="199">
        <f t="shared" si="1"/>
        <v>80989.27000000002</v>
      </c>
      <c r="M9" s="252">
        <f t="shared" si="2"/>
        <v>1.39810992671644</v>
      </c>
      <c r="N9" s="197">
        <f>E9-червень!E9</f>
        <v>39820.00000000003</v>
      </c>
      <c r="O9" s="200">
        <f>F9-червень!F9</f>
        <v>22981.170000000013</v>
      </c>
      <c r="P9" s="201">
        <f>O9-N9</f>
        <v>-16838.830000000016</v>
      </c>
      <c r="Q9" s="198">
        <f>O9/N9*100</f>
        <v>57.712631843294815</v>
      </c>
      <c r="R9" s="106"/>
      <c r="S9" s="107"/>
      <c r="T9" s="186">
        <f>D9-E9</f>
        <v>195975.72999999998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250480.88</v>
      </c>
      <c r="G10" s="109">
        <f t="shared" si="0"/>
        <v>16465.040000000008</v>
      </c>
      <c r="H10" s="32">
        <f aca="true" t="shared" si="3" ref="H10:H36">F10/E10*100</f>
        <v>107.03586560636238</v>
      </c>
      <c r="I10" s="110">
        <f aca="true" t="shared" si="4" ref="I10:I37">F10-D10</f>
        <v>-160959.12</v>
      </c>
      <c r="J10" s="110">
        <f aca="true" t="shared" si="5" ref="J10:J36">F10/D10*100</f>
        <v>60.87907835893448</v>
      </c>
      <c r="K10" s="112">
        <v>180069.97</v>
      </c>
      <c r="L10" s="112">
        <f t="shared" si="1"/>
        <v>70410.91</v>
      </c>
      <c r="M10" s="253">
        <f t="shared" si="2"/>
        <v>1.3910197241661117</v>
      </c>
      <c r="N10" s="111">
        <f>E10-червень!E10</f>
        <v>34720</v>
      </c>
      <c r="O10" s="179">
        <f>F10-червень!F10</f>
        <v>19212.47</v>
      </c>
      <c r="P10" s="112">
        <f aca="true" t="shared" si="6" ref="P10:P37">O10-N10</f>
        <v>-15507.529999999999</v>
      </c>
      <c r="Q10" s="198">
        <f aca="true" t="shared" si="7" ref="Q10:Q16">O10/N10*100</f>
        <v>55.33545506912443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19609.03</v>
      </c>
      <c r="G11" s="109">
        <f t="shared" si="0"/>
        <v>3694.0899999999983</v>
      </c>
      <c r="H11" s="32">
        <f t="shared" si="3"/>
        <v>123.21146042649234</v>
      </c>
      <c r="I11" s="110">
        <f t="shared" si="4"/>
        <v>-3390.970000000001</v>
      </c>
      <c r="J11" s="110">
        <f t="shared" si="5"/>
        <v>85.25665217391304</v>
      </c>
      <c r="K11" s="112">
        <v>10791.39</v>
      </c>
      <c r="L11" s="112">
        <f t="shared" si="1"/>
        <v>8817.64</v>
      </c>
      <c r="M11" s="253">
        <f t="shared" si="2"/>
        <v>1.8170995580736125</v>
      </c>
      <c r="N11" s="111">
        <f>E11-червень!E11</f>
        <v>1750</v>
      </c>
      <c r="O11" s="179">
        <f>F11-червень!F11</f>
        <v>1576.7799999999988</v>
      </c>
      <c r="P11" s="112">
        <f t="shared" si="6"/>
        <v>-173.22000000000116</v>
      </c>
      <c r="Q11" s="198">
        <f t="shared" si="7"/>
        <v>90.10171428571422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5789.18</v>
      </c>
      <c r="G12" s="109">
        <f t="shared" si="0"/>
        <v>2518.57</v>
      </c>
      <c r="H12" s="32">
        <f t="shared" si="3"/>
        <v>177.0061242398207</v>
      </c>
      <c r="I12" s="110">
        <f t="shared" si="4"/>
        <v>-710.8199999999997</v>
      </c>
      <c r="J12" s="110">
        <f t="shared" si="5"/>
        <v>89.0643076923077</v>
      </c>
      <c r="K12" s="112">
        <v>3052.92</v>
      </c>
      <c r="L12" s="112">
        <f t="shared" si="1"/>
        <v>2736.26</v>
      </c>
      <c r="M12" s="253">
        <f t="shared" si="2"/>
        <v>1.896276351820552</v>
      </c>
      <c r="N12" s="111">
        <f>E12-червень!E12</f>
        <v>550</v>
      </c>
      <c r="O12" s="179">
        <f>F12-червень!F12</f>
        <v>500.52000000000044</v>
      </c>
      <c r="P12" s="112">
        <f t="shared" si="6"/>
        <v>-49.47999999999956</v>
      </c>
      <c r="Q12" s="198">
        <f t="shared" si="7"/>
        <v>91.00363636363645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6093.74</v>
      </c>
      <c r="G13" s="109">
        <f t="shared" si="0"/>
        <v>-671.1000000000004</v>
      </c>
      <c r="H13" s="32">
        <f t="shared" si="3"/>
        <v>90.07958798729902</v>
      </c>
      <c r="I13" s="110">
        <f t="shared" si="4"/>
        <v>-6306.26</v>
      </c>
      <c r="J13" s="110">
        <f t="shared" si="5"/>
        <v>49.14306451612903</v>
      </c>
      <c r="K13" s="112">
        <v>4060.02</v>
      </c>
      <c r="L13" s="112">
        <f t="shared" si="1"/>
        <v>2033.7199999999998</v>
      </c>
      <c r="M13" s="253">
        <f t="shared" si="2"/>
        <v>1.5009137886020265</v>
      </c>
      <c r="N13" s="111">
        <f>E13-червень!E13</f>
        <v>2180</v>
      </c>
      <c r="O13" s="179">
        <f>F13-червень!F13</f>
        <v>1641.13</v>
      </c>
      <c r="P13" s="112">
        <f t="shared" si="6"/>
        <v>-538.8699999999999</v>
      </c>
      <c r="Q13" s="198">
        <f t="shared" si="7"/>
        <v>75.28119266055046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2450.88</v>
      </c>
      <c r="G14" s="109">
        <f t="shared" si="0"/>
        <v>-1307.1599999999999</v>
      </c>
      <c r="H14" s="32">
        <f t="shared" si="3"/>
        <v>65.2169748060159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3">
        <f t="shared" si="2"/>
        <v>0.44886925562075564</v>
      </c>
      <c r="N14" s="111">
        <f>E14-червень!E14</f>
        <v>620</v>
      </c>
      <c r="O14" s="179">
        <f>F14-червень!F14</f>
        <v>50.26999999999998</v>
      </c>
      <c r="P14" s="112">
        <f t="shared" si="6"/>
        <v>-569.73</v>
      </c>
      <c r="Q14" s="198">
        <f t="shared" si="7"/>
        <v>8.10806451612903</v>
      </c>
      <c r="R14" s="42"/>
      <c r="S14" s="100"/>
      <c r="T14" s="186">
        <f t="shared" si="8"/>
        <v>2601.96</v>
      </c>
      <c r="U14" s="274">
        <v>2880</v>
      </c>
      <c r="V14" s="186">
        <f>U14-T14</f>
        <v>278.03999999999996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4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4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4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4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47801.4</v>
      </c>
      <c r="G19" s="190">
        <f t="shared" si="0"/>
        <v>-10959</v>
      </c>
      <c r="H19" s="197">
        <f t="shared" si="3"/>
        <v>81.34968448138542</v>
      </c>
      <c r="I19" s="198">
        <f t="shared" si="4"/>
        <v>-62098.6</v>
      </c>
      <c r="J19" s="198">
        <f t="shared" si="5"/>
        <v>43.49535941765241</v>
      </c>
      <c r="K19" s="209">
        <v>37124.61</v>
      </c>
      <c r="L19" s="201">
        <f t="shared" si="9"/>
        <v>10676.79</v>
      </c>
      <c r="M19" s="260">
        <f t="shared" si="10"/>
        <v>1.287593324212699</v>
      </c>
      <c r="N19" s="197">
        <f>E19-червень!E19</f>
        <v>10900</v>
      </c>
      <c r="O19" s="200">
        <f>F19-червень!F19</f>
        <v>3289.3800000000047</v>
      </c>
      <c r="P19" s="201">
        <f t="shared" si="6"/>
        <v>-7610.619999999995</v>
      </c>
      <c r="Q19" s="198">
        <f aca="true" t="shared" si="11" ref="Q19:Q24">O19/N19*100</f>
        <v>30.17779816513766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176791.61</v>
      </c>
      <c r="F20" s="273">
        <f>F21+F29+F30+F31+F32</f>
        <v>183274.86</v>
      </c>
      <c r="G20" s="190">
        <f t="shared" si="0"/>
        <v>6483.25</v>
      </c>
      <c r="H20" s="197">
        <f t="shared" si="3"/>
        <v>103.6671706310045</v>
      </c>
      <c r="I20" s="198">
        <f t="shared" si="4"/>
        <v>-87665.14000000001</v>
      </c>
      <c r="J20" s="198">
        <f t="shared" si="5"/>
        <v>67.64407617922787</v>
      </c>
      <c r="K20" s="198">
        <v>122956.99</v>
      </c>
      <c r="L20" s="201">
        <f t="shared" si="9"/>
        <v>60317.86999999998</v>
      </c>
      <c r="M20" s="255">
        <f t="shared" si="10"/>
        <v>1.4905607237132268</v>
      </c>
      <c r="N20" s="197">
        <f>N21+N30+N31+N32</f>
        <v>28570.5</v>
      </c>
      <c r="O20" s="200">
        <f>F20-червень!F20</f>
        <v>24133.199999999983</v>
      </c>
      <c r="P20" s="201">
        <f t="shared" si="6"/>
        <v>-4437.3000000000175</v>
      </c>
      <c r="Q20" s="198">
        <f t="shared" si="11"/>
        <v>84.46894524072026</v>
      </c>
      <c r="R20" s="113"/>
      <c r="S20" s="114"/>
      <c r="T20" s="186">
        <f t="shared" si="8"/>
        <v>94148.39000000001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97131.23999999999</v>
      </c>
      <c r="G21" s="190">
        <f t="shared" si="0"/>
        <v>522.5799999999872</v>
      </c>
      <c r="H21" s="197">
        <f t="shared" si="3"/>
        <v>100.54092459206036</v>
      </c>
      <c r="I21" s="198">
        <f t="shared" si="4"/>
        <v>-64268.76000000001</v>
      </c>
      <c r="J21" s="198">
        <f t="shared" si="5"/>
        <v>60.18044609665427</v>
      </c>
      <c r="K21" s="198">
        <v>67867.18</v>
      </c>
      <c r="L21" s="201">
        <f t="shared" si="9"/>
        <v>29264.059999999998</v>
      </c>
      <c r="M21" s="255">
        <f t="shared" si="10"/>
        <v>1.4311960508746644</v>
      </c>
      <c r="N21" s="197">
        <f>N22+N25+N26</f>
        <v>18465.3</v>
      </c>
      <c r="O21" s="200">
        <f>F21-червень!F21</f>
        <v>11136.849999999991</v>
      </c>
      <c r="P21" s="201">
        <f t="shared" si="6"/>
        <v>-7328.450000000008</v>
      </c>
      <c r="Q21" s="198">
        <f t="shared" si="11"/>
        <v>60.3123155323769</v>
      </c>
      <c r="R21" s="113"/>
      <c r="S21" s="114"/>
      <c r="T21" s="186">
        <f t="shared" si="8"/>
        <v>64791.34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12134.91</v>
      </c>
      <c r="G22" s="212">
        <f t="shared" si="0"/>
        <v>-456.6900000000005</v>
      </c>
      <c r="H22" s="214">
        <f t="shared" si="3"/>
        <v>96.37305822929572</v>
      </c>
      <c r="I22" s="215">
        <f t="shared" si="4"/>
        <v>-6365.09</v>
      </c>
      <c r="J22" s="215">
        <f t="shared" si="5"/>
        <v>65.5941081081081</v>
      </c>
      <c r="K22" s="216">
        <v>8455.99</v>
      </c>
      <c r="L22" s="206">
        <f t="shared" si="9"/>
        <v>3678.92</v>
      </c>
      <c r="M22" s="263">
        <f t="shared" si="10"/>
        <v>1.4350667396721142</v>
      </c>
      <c r="N22" s="214">
        <f>E22-червень!E22</f>
        <v>3980</v>
      </c>
      <c r="O22" s="217">
        <f>F22-червень!F22</f>
        <v>2901.3199999999997</v>
      </c>
      <c r="P22" s="218">
        <f t="shared" si="6"/>
        <v>-1078.6800000000003</v>
      </c>
      <c r="Q22" s="215">
        <f t="shared" si="11"/>
        <v>72.89748743718593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493.22</v>
      </c>
      <c r="G23" s="241">
        <f t="shared" si="0"/>
        <v>-195.88</v>
      </c>
      <c r="H23" s="242">
        <f t="shared" si="3"/>
        <v>71.5745174865767</v>
      </c>
      <c r="I23" s="243">
        <f t="shared" si="4"/>
        <v>-1506.78</v>
      </c>
      <c r="J23" s="243">
        <f t="shared" si="5"/>
        <v>24.661</v>
      </c>
      <c r="K23" s="262">
        <v>461.3</v>
      </c>
      <c r="L23" s="262">
        <f aca="true" t="shared" si="12" ref="L23:L39">F23-K23</f>
        <v>31.920000000000016</v>
      </c>
      <c r="M23" s="264">
        <f aca="true" t="shared" si="13" ref="M23:M28">F23/K23</f>
        <v>1.069195751138088</v>
      </c>
      <c r="N23" s="239">
        <f>E23-червень!E23</f>
        <v>300</v>
      </c>
      <c r="O23" s="239">
        <f>F23-червень!F23</f>
        <v>151.12</v>
      </c>
      <c r="P23" s="240">
        <f t="shared" si="6"/>
        <v>-148.88</v>
      </c>
      <c r="Q23" s="240">
        <f t="shared" si="11"/>
        <v>50.373333333333335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11641.69</v>
      </c>
      <c r="G24" s="241">
        <f t="shared" si="0"/>
        <v>-260.8099999999995</v>
      </c>
      <c r="H24" s="242">
        <f t="shared" si="3"/>
        <v>97.80877966813695</v>
      </c>
      <c r="I24" s="243">
        <f t="shared" si="4"/>
        <v>-4858.3099999999995</v>
      </c>
      <c r="J24" s="243">
        <f t="shared" si="5"/>
        <v>70.55569696969697</v>
      </c>
      <c r="K24" s="262">
        <v>7994.69</v>
      </c>
      <c r="L24" s="262">
        <f t="shared" si="12"/>
        <v>3647.000000000001</v>
      </c>
      <c r="M24" s="264">
        <f t="shared" si="13"/>
        <v>1.4561777880067897</v>
      </c>
      <c r="N24" s="239">
        <f>E24-червень!E24</f>
        <v>3680</v>
      </c>
      <c r="O24" s="239">
        <f>F24-червень!F24</f>
        <v>2750.2000000000007</v>
      </c>
      <c r="P24" s="240">
        <f t="shared" si="6"/>
        <v>-929.7999999999993</v>
      </c>
      <c r="Q24" s="240">
        <f t="shared" si="11"/>
        <v>74.73369565217394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462.13</v>
      </c>
      <c r="G25" s="212">
        <f t="shared" si="0"/>
        <v>-231.01</v>
      </c>
      <c r="H25" s="214">
        <f t="shared" si="3"/>
        <v>66.6719566032836</v>
      </c>
      <c r="I25" s="215">
        <f t="shared" si="4"/>
        <v>-2337.87</v>
      </c>
      <c r="J25" s="215">
        <f t="shared" si="5"/>
        <v>16.504642857142855</v>
      </c>
      <c r="K25" s="215">
        <v>773.2</v>
      </c>
      <c r="L25" s="215">
        <f t="shared" si="12"/>
        <v>-311.07000000000005</v>
      </c>
      <c r="M25" s="258">
        <f t="shared" si="13"/>
        <v>0.5976849456802896</v>
      </c>
      <c r="N25" s="214">
        <f>E25-червень!E25</f>
        <v>416.3</v>
      </c>
      <c r="O25" s="217">
        <f>F25-червень!F25</f>
        <v>27.079999999999984</v>
      </c>
      <c r="P25" s="218">
        <f t="shared" si="6"/>
        <v>-389.22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84534.2</v>
      </c>
      <c r="G26" s="212">
        <f t="shared" si="0"/>
        <v>1210.2799999999988</v>
      </c>
      <c r="H26" s="214">
        <f t="shared" si="3"/>
        <v>101.4525000744084</v>
      </c>
      <c r="I26" s="215">
        <f t="shared" si="4"/>
        <v>-55565.8</v>
      </c>
      <c r="J26" s="215">
        <f t="shared" si="5"/>
        <v>60.33847251962884</v>
      </c>
      <c r="K26" s="216">
        <v>58637.99</v>
      </c>
      <c r="L26" s="216">
        <f t="shared" si="12"/>
        <v>25896.21</v>
      </c>
      <c r="M26" s="257">
        <f t="shared" si="13"/>
        <v>1.4416285414967327</v>
      </c>
      <c r="N26" s="214">
        <f>E26-червень!E26</f>
        <v>14069</v>
      </c>
      <c r="O26" s="217">
        <f>F26-червень!F26</f>
        <v>8208.449999999997</v>
      </c>
      <c r="P26" s="218">
        <f t="shared" si="6"/>
        <v>-5860.550000000003</v>
      </c>
      <c r="Q26" s="215">
        <f>O26/N26*100</f>
        <v>58.34423199943135</v>
      </c>
      <c r="R26" s="113"/>
      <c r="S26" s="114"/>
      <c r="T26" s="186">
        <f t="shared" si="8"/>
        <v>56776.08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26666.69</v>
      </c>
      <c r="G27" s="241">
        <f t="shared" si="0"/>
        <v>2701.9399999999987</v>
      </c>
      <c r="H27" s="242">
        <f t="shared" si="3"/>
        <v>111.27464296518845</v>
      </c>
      <c r="I27" s="243">
        <f t="shared" si="4"/>
        <v>-11390.310000000001</v>
      </c>
      <c r="J27" s="243">
        <f t="shared" si="5"/>
        <v>70.07039440838741</v>
      </c>
      <c r="K27" s="262">
        <v>15594.88</v>
      </c>
      <c r="L27" s="262">
        <f t="shared" si="12"/>
        <v>11071.81</v>
      </c>
      <c r="M27" s="264">
        <f t="shared" si="13"/>
        <v>1.7099644242212828</v>
      </c>
      <c r="N27" s="239">
        <f>E27-червень!E27</f>
        <v>4535</v>
      </c>
      <c r="O27" s="239">
        <f>F27-червень!F27</f>
        <v>2929.84</v>
      </c>
      <c r="P27" s="240">
        <f t="shared" si="6"/>
        <v>-1605.1599999999999</v>
      </c>
      <c r="Q27" s="240">
        <f>O27/N27*100</f>
        <v>64.60507166482911</v>
      </c>
      <c r="R27" s="113"/>
      <c r="S27" s="114"/>
      <c r="T27" s="186">
        <f t="shared" si="8"/>
        <v>14092.25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57867.52</v>
      </c>
      <c r="G28" s="241">
        <f t="shared" si="0"/>
        <v>-1491.6500000000015</v>
      </c>
      <c r="H28" s="242">
        <f t="shared" si="3"/>
        <v>97.48707739680323</v>
      </c>
      <c r="I28" s="243">
        <f t="shared" si="4"/>
        <v>-44175.48</v>
      </c>
      <c r="J28" s="243">
        <f t="shared" si="5"/>
        <v>56.70895602834099</v>
      </c>
      <c r="K28" s="262">
        <v>43043.11</v>
      </c>
      <c r="L28" s="262">
        <f t="shared" si="12"/>
        <v>14824.409999999996</v>
      </c>
      <c r="M28" s="264">
        <f t="shared" si="13"/>
        <v>1.344408431453954</v>
      </c>
      <c r="N28" s="239">
        <f>E28-червень!E28</f>
        <v>9534</v>
      </c>
      <c r="O28" s="239">
        <f>F28-червень!F28</f>
        <v>5278.629999999997</v>
      </c>
      <c r="P28" s="240">
        <f t="shared" si="6"/>
        <v>-4255.370000000003</v>
      </c>
      <c r="Q28" s="240">
        <f>O28/N28*100</f>
        <v>55.36637298091039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2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6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65.02</v>
      </c>
      <c r="G30" s="190">
        <f t="shared" si="0"/>
        <v>24.11</v>
      </c>
      <c r="H30" s="197">
        <f t="shared" si="3"/>
        <v>158.93424590564655</v>
      </c>
      <c r="I30" s="198">
        <f t="shared" si="4"/>
        <v>-11.980000000000004</v>
      </c>
      <c r="J30" s="198">
        <f t="shared" si="5"/>
        <v>84.44155844155844</v>
      </c>
      <c r="K30" s="198">
        <v>41.66</v>
      </c>
      <c r="L30" s="198">
        <f t="shared" si="12"/>
        <v>23.36</v>
      </c>
      <c r="M30" s="256">
        <f>F30/K30</f>
        <v>1.5607297167546808</v>
      </c>
      <c r="N30" s="197">
        <f>E30-червень!E29</f>
        <v>5.199999999999996</v>
      </c>
      <c r="O30" s="200">
        <f>F30-червень!F29</f>
        <v>9.399999999999999</v>
      </c>
      <c r="P30" s="201">
        <f t="shared" si="6"/>
        <v>4.200000000000003</v>
      </c>
      <c r="Q30" s="198">
        <f>O30/N30*100</f>
        <v>180.7692307692309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6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v>80142.04</v>
      </c>
      <c r="F32" s="203">
        <v>86217.18</v>
      </c>
      <c r="G32" s="202">
        <f t="shared" si="0"/>
        <v>6075.139999999999</v>
      </c>
      <c r="H32" s="204">
        <f t="shared" si="3"/>
        <v>107.58046588282504</v>
      </c>
      <c r="I32" s="205">
        <f t="shared" si="4"/>
        <v>-23245.820000000007</v>
      </c>
      <c r="J32" s="205">
        <f t="shared" si="5"/>
        <v>78.76376492513451</v>
      </c>
      <c r="K32" s="219">
        <v>55578.51</v>
      </c>
      <c r="L32" s="219">
        <f t="shared" si="12"/>
        <v>30638.66999999999</v>
      </c>
      <c r="M32" s="259">
        <f>F32/L32</f>
        <v>2.813998779973152</v>
      </c>
      <c r="N32" s="197">
        <f>E32-червень!E31</f>
        <v>10100</v>
      </c>
      <c r="O32" s="200">
        <f>F32-червень!F31</f>
        <v>13000.48999999999</v>
      </c>
      <c r="P32" s="207">
        <f t="shared" si="6"/>
        <v>2900.4899999999907</v>
      </c>
      <c r="Q32" s="205">
        <f>O32/N32*100</f>
        <v>128.71772277227714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5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21379.29</v>
      </c>
      <c r="G34" s="109">
        <f t="shared" si="0"/>
        <v>1683.3199999999997</v>
      </c>
      <c r="H34" s="111">
        <f t="shared" si="3"/>
        <v>108.54651992260345</v>
      </c>
      <c r="I34" s="110">
        <f t="shared" si="4"/>
        <v>-6220.709999999999</v>
      </c>
      <c r="J34" s="110">
        <f t="shared" si="5"/>
        <v>77.46119565217391</v>
      </c>
      <c r="K34" s="142">
        <v>13078.86</v>
      </c>
      <c r="L34" s="142">
        <f t="shared" si="12"/>
        <v>8300.43</v>
      </c>
      <c r="M34" s="265">
        <f t="shared" si="14"/>
        <v>1.6346447626169254</v>
      </c>
      <c r="N34" s="111">
        <f>E34-червень!E33</f>
        <v>2000</v>
      </c>
      <c r="O34" s="179">
        <f>F34-червень!F33</f>
        <v>3066.2299999999996</v>
      </c>
      <c r="P34" s="112">
        <f t="shared" si="6"/>
        <v>1066.2299999999996</v>
      </c>
      <c r="Q34" s="110">
        <f>O34/N34*100</f>
        <v>153.31149999999997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64823.72</v>
      </c>
      <c r="G35" s="109">
        <f t="shared" si="0"/>
        <v>4387.639999999999</v>
      </c>
      <c r="H35" s="111">
        <f t="shared" si="3"/>
        <v>107.25996788673255</v>
      </c>
      <c r="I35" s="110">
        <f t="shared" si="4"/>
        <v>-16988.28</v>
      </c>
      <c r="J35" s="110">
        <f t="shared" si="5"/>
        <v>79.23497775387473</v>
      </c>
      <c r="K35" s="142">
        <v>42491.04</v>
      </c>
      <c r="L35" s="142">
        <f t="shared" si="12"/>
        <v>22332.68</v>
      </c>
      <c r="M35" s="265">
        <f t="shared" si="14"/>
        <v>1.5255856293467989</v>
      </c>
      <c r="N35" s="111">
        <f>E35-червень!E34</f>
        <v>8100</v>
      </c>
      <c r="O35" s="179">
        <f>F35-червень!F34</f>
        <v>9934.270000000004</v>
      </c>
      <c r="P35" s="112">
        <f t="shared" si="6"/>
        <v>1834.270000000004</v>
      </c>
      <c r="Q35" s="110">
        <f>O35/N35*100</f>
        <v>122.64530864197536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2"/>
        <v>4.209999999999999</v>
      </c>
      <c r="M36" s="265">
        <f t="shared" si="14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6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25146.029999999995</v>
      </c>
      <c r="F38" s="191">
        <f>F39+F40+F41+F42+F43+F45+F47+F48+F49+F50+F51+F56+F57+F61+F44</f>
        <v>35167.68</v>
      </c>
      <c r="G38" s="191">
        <f>G39+G40+G41+G42+G43+G45+G47+G48+G49+G50+G51+G56+G57+G61</f>
        <v>9994.17</v>
      </c>
      <c r="H38" s="192">
        <f>F38/E38*100</f>
        <v>139.85380594869252</v>
      </c>
      <c r="I38" s="193">
        <f>F38-D38</f>
        <v>-7652.32</v>
      </c>
      <c r="J38" s="193">
        <f>F38/D38*100</f>
        <v>82.12909855207847</v>
      </c>
      <c r="K38" s="191">
        <v>18825.24</v>
      </c>
      <c r="L38" s="191">
        <f t="shared" si="12"/>
        <v>16342.439999999999</v>
      </c>
      <c r="M38" s="251">
        <f t="shared" si="14"/>
        <v>1.8681132352097503</v>
      </c>
      <c r="N38" s="191">
        <f>N39+N40+N41+N42+N43+N45+N47+N48+N49+N50+N51+N56+N57+N61</f>
        <v>3647.9999999999995</v>
      </c>
      <c r="O38" s="191">
        <f>O39+O40+O41+O42+O43+O45+O47+O48+O49+O50+O51+O56+O57+O61+O44</f>
        <v>5907.030000000001</v>
      </c>
      <c r="P38" s="191">
        <f>P39+P40+P41+P42+P43+P45+P47+P48+P49+P50+P51+P56+P57+P61</f>
        <v>2245.15</v>
      </c>
      <c r="Q38" s="191">
        <f>O38/N38*100</f>
        <v>161.92516447368425</v>
      </c>
      <c r="R38" s="15" t="e">
        <f>#N/A</f>
        <v>#N/A</v>
      </c>
      <c r="S38" s="15" t="e">
        <f>#N/A</f>
        <v>#N/A</v>
      </c>
      <c r="T38" s="186">
        <f t="shared" si="8"/>
        <v>17673.970000000005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7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7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v>131.44</v>
      </c>
      <c r="F41" s="196">
        <v>28.07</v>
      </c>
      <c r="G41" s="202">
        <f t="shared" si="17"/>
        <v>-103.37</v>
      </c>
      <c r="H41" s="204">
        <f t="shared" si="15"/>
        <v>21.355751673767497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7">
        <f aca="true" t="shared" si="22" ref="M41:M51">F41/K41</f>
        <v>0.11387885918292831</v>
      </c>
      <c r="N41" s="204">
        <f>E41-червень!E40</f>
        <v>20</v>
      </c>
      <c r="O41" s="208">
        <f>F41-червень!F40</f>
        <v>0</v>
      </c>
      <c r="P41" s="207">
        <f t="shared" si="20"/>
        <v>-20</v>
      </c>
      <c r="Q41" s="205">
        <f t="shared" si="16"/>
        <v>0</v>
      </c>
      <c r="R41" s="42"/>
      <c r="S41" s="100"/>
      <c r="T41" s="186">
        <f t="shared" si="8"/>
        <v>268.56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7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77.45</v>
      </c>
      <c r="G43" s="202">
        <f t="shared" si="17"/>
        <v>7.450000000000003</v>
      </c>
      <c r="H43" s="204">
        <f t="shared" si="15"/>
        <v>110.64285714285715</v>
      </c>
      <c r="I43" s="205">
        <f t="shared" si="18"/>
        <v>-72.55</v>
      </c>
      <c r="J43" s="205">
        <f t="shared" si="21"/>
        <v>51.63333333333333</v>
      </c>
      <c r="K43" s="205">
        <v>90.24</v>
      </c>
      <c r="L43" s="205">
        <f t="shared" si="19"/>
        <v>-12.789999999999992</v>
      </c>
      <c r="M43" s="267">
        <f t="shared" si="22"/>
        <v>0.8582668439716313</v>
      </c>
      <c r="N43" s="204">
        <f>E43-червень!E42</f>
        <v>10</v>
      </c>
      <c r="O43" s="208">
        <f>F43-червень!F42</f>
        <v>16.480000000000004</v>
      </c>
      <c r="P43" s="207">
        <f t="shared" si="20"/>
        <v>6.480000000000004</v>
      </c>
      <c r="Q43" s="205">
        <f t="shared" si="16"/>
        <v>164.80000000000004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7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241.82</v>
      </c>
      <c r="G45" s="202">
        <f t="shared" si="17"/>
        <v>193.82</v>
      </c>
      <c r="H45" s="204">
        <f t="shared" si="15"/>
        <v>503.7916666666667</v>
      </c>
      <c r="I45" s="205">
        <f t="shared" si="18"/>
        <v>151.82</v>
      </c>
      <c r="J45" s="205">
        <f t="shared" si="21"/>
        <v>268.68888888888887</v>
      </c>
      <c r="K45" s="205">
        <v>0</v>
      </c>
      <c r="L45" s="205">
        <f t="shared" si="19"/>
        <v>241.82</v>
      </c>
      <c r="M45" s="267"/>
      <c r="N45" s="204">
        <f>E45-червень!E44</f>
        <v>8</v>
      </c>
      <c r="O45" s="208">
        <f>F45-червень!F44</f>
        <v>73.73999999999998</v>
      </c>
      <c r="P45" s="207">
        <f t="shared" si="20"/>
        <v>65.73999999999998</v>
      </c>
      <c r="Q45" s="205">
        <f t="shared" si="16"/>
        <v>921.7499999999998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7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5900.19</v>
      </c>
      <c r="G47" s="202">
        <f t="shared" si="17"/>
        <v>561.1699999999992</v>
      </c>
      <c r="H47" s="204">
        <f t="shared" si="15"/>
        <v>110.51073043367508</v>
      </c>
      <c r="I47" s="205">
        <f t="shared" si="18"/>
        <v>-3999.8100000000004</v>
      </c>
      <c r="J47" s="205">
        <f t="shared" si="21"/>
        <v>59.59787878787879</v>
      </c>
      <c r="K47" s="205">
        <v>5937.66</v>
      </c>
      <c r="L47" s="205">
        <f t="shared" si="19"/>
        <v>-37.470000000000255</v>
      </c>
      <c r="M47" s="267">
        <f t="shared" si="22"/>
        <v>0.993689433211063</v>
      </c>
      <c r="N47" s="204">
        <f>E47-червень!E46</f>
        <v>800</v>
      </c>
      <c r="O47" s="208">
        <f>F47-червень!F46</f>
        <v>899.1299999999992</v>
      </c>
      <c r="P47" s="207">
        <f t="shared" si="20"/>
        <v>99.1299999999992</v>
      </c>
      <c r="Q47" s="205">
        <f t="shared" si="16"/>
        <v>112.3912499999999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v>780</v>
      </c>
      <c r="F48" s="196">
        <v>110.98</v>
      </c>
      <c r="G48" s="202">
        <f t="shared" si="17"/>
        <v>-669.02</v>
      </c>
      <c r="H48" s="204">
        <f t="shared" si="15"/>
        <v>14.22820512820513</v>
      </c>
      <c r="I48" s="205">
        <f t="shared" si="18"/>
        <v>-1389.02</v>
      </c>
      <c r="J48" s="205">
        <f t="shared" si="21"/>
        <v>7.398666666666667</v>
      </c>
      <c r="K48" s="205">
        <v>0</v>
      </c>
      <c r="L48" s="205">
        <f t="shared" si="19"/>
        <v>110.98</v>
      </c>
      <c r="M48" s="267"/>
      <c r="N48" s="204">
        <f>E48-червень!E47</f>
        <v>130</v>
      </c>
      <c r="O48" s="208">
        <f>F48-червень!F47</f>
        <v>42.06</v>
      </c>
      <c r="P48" s="207">
        <f t="shared" si="20"/>
        <v>-87.94</v>
      </c>
      <c r="Q48" s="205">
        <f t="shared" si="16"/>
        <v>32.353846153846156</v>
      </c>
      <c r="R48" s="42"/>
      <c r="S48" s="100"/>
      <c r="T48" s="186">
        <f t="shared" si="8"/>
        <v>720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7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7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v>3872.19</v>
      </c>
      <c r="F51" s="196">
        <v>3630.21</v>
      </c>
      <c r="G51" s="202">
        <f t="shared" si="17"/>
        <v>-241.98000000000002</v>
      </c>
      <c r="H51" s="204">
        <f t="shared" si="15"/>
        <v>93.75082317758168</v>
      </c>
      <c r="I51" s="205">
        <f t="shared" si="18"/>
        <v>-3669.79</v>
      </c>
      <c r="J51" s="205">
        <f t="shared" si="21"/>
        <v>49.72890410958904</v>
      </c>
      <c r="K51" s="205">
        <v>4692.18</v>
      </c>
      <c r="L51" s="205">
        <f t="shared" si="19"/>
        <v>-1061.9700000000003</v>
      </c>
      <c r="M51" s="267">
        <f t="shared" si="22"/>
        <v>0.7736723655102745</v>
      </c>
      <c r="N51" s="204">
        <f>E51-червень!E50</f>
        <v>653</v>
      </c>
      <c r="O51" s="208">
        <f>F51-червень!F50</f>
        <v>535.5799999999999</v>
      </c>
      <c r="P51" s="207">
        <f t="shared" si="20"/>
        <v>-117.42000000000007</v>
      </c>
      <c r="Q51" s="205">
        <f t="shared" si="16"/>
        <v>82.01837672281775</v>
      </c>
      <c r="R51" s="42"/>
      <c r="S51" s="100"/>
      <c r="T51" s="186">
        <f t="shared" si="8"/>
        <v>3427.81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490.34</v>
      </c>
      <c r="G52" s="36">
        <f t="shared" si="17"/>
        <v>-153.65000000000003</v>
      </c>
      <c r="H52" s="32">
        <f t="shared" si="15"/>
        <v>76.14093386543269</v>
      </c>
      <c r="I52" s="110">
        <f t="shared" si="18"/>
        <v>-609.6600000000001</v>
      </c>
      <c r="J52" s="110">
        <f t="shared" si="21"/>
        <v>44.57636363636364</v>
      </c>
      <c r="K52" s="110">
        <v>675.25</v>
      </c>
      <c r="L52" s="110">
        <f>F52-K52</f>
        <v>-184.91000000000003</v>
      </c>
      <c r="M52" s="115">
        <f aca="true" t="shared" si="23" ref="M52:M57">F52/K52</f>
        <v>0.7261606812291743</v>
      </c>
      <c r="N52" s="111">
        <f>E52-червень!E51</f>
        <v>92</v>
      </c>
      <c r="O52" s="179">
        <f>F52-червень!F51</f>
        <v>69.66999999999996</v>
      </c>
      <c r="P52" s="112">
        <f t="shared" si="20"/>
        <v>-22.33000000000004</v>
      </c>
      <c r="Q52" s="132">
        <f t="shared" si="16"/>
        <v>75.72826086956518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v>6.04</v>
      </c>
      <c r="F53" s="171">
        <v>0.25</v>
      </c>
      <c r="G53" s="36">
        <f t="shared" si="17"/>
        <v>-5.79</v>
      </c>
      <c r="H53" s="32">
        <f t="shared" si="15"/>
        <v>4.13907284768212</v>
      </c>
      <c r="I53" s="110">
        <f t="shared" si="18"/>
        <v>-44.75</v>
      </c>
      <c r="J53" s="110">
        <f t="shared" si="21"/>
        <v>0.5555555555555556</v>
      </c>
      <c r="K53" s="110">
        <v>45.43</v>
      </c>
      <c r="L53" s="110">
        <f>F53-K53</f>
        <v>-45.18</v>
      </c>
      <c r="M53" s="115">
        <f t="shared" si="23"/>
        <v>0.00550297160466652</v>
      </c>
      <c r="N53" s="111">
        <f>E53-червень!E52</f>
        <v>1</v>
      </c>
      <c r="O53" s="179">
        <f>F53-червень!F52</f>
        <v>0.010000000000000009</v>
      </c>
      <c r="P53" s="112">
        <f t="shared" si="20"/>
        <v>-0.99</v>
      </c>
      <c r="Q53" s="132">
        <f t="shared" si="16"/>
        <v>1.0000000000000009</v>
      </c>
      <c r="R53" s="42"/>
      <c r="S53" s="100"/>
      <c r="T53" s="186">
        <f t="shared" si="8"/>
        <v>38.96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3139.6</v>
      </c>
      <c r="G55" s="36">
        <f t="shared" si="17"/>
        <v>-82.57000000000016</v>
      </c>
      <c r="H55" s="32">
        <f t="shared" si="15"/>
        <v>97.43744122749575</v>
      </c>
      <c r="I55" s="110">
        <f t="shared" si="18"/>
        <v>-3014.4</v>
      </c>
      <c r="J55" s="110">
        <f t="shared" si="21"/>
        <v>51.01722456938577</v>
      </c>
      <c r="K55" s="110">
        <v>3970.78</v>
      </c>
      <c r="L55" s="110">
        <f>F55-K55</f>
        <v>-831.1800000000003</v>
      </c>
      <c r="M55" s="115">
        <f t="shared" si="23"/>
        <v>0.7906758873571439</v>
      </c>
      <c r="N55" s="111">
        <f>E55-червень!E54</f>
        <v>560</v>
      </c>
      <c r="O55" s="179">
        <f>F55-червень!F54</f>
        <v>465.8899999999999</v>
      </c>
      <c r="P55" s="112">
        <f t="shared" si="20"/>
        <v>-94.11000000000013</v>
      </c>
      <c r="Q55" s="132">
        <f t="shared" si="16"/>
        <v>83.19464285714282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7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3051.79</v>
      </c>
      <c r="G57" s="202">
        <f t="shared" si="17"/>
        <v>413.80999999999995</v>
      </c>
      <c r="H57" s="204">
        <f t="shared" si="15"/>
        <v>115.68662385613233</v>
      </c>
      <c r="I57" s="205">
        <f t="shared" si="18"/>
        <v>-1748.21</v>
      </c>
      <c r="J57" s="205">
        <f t="shared" si="21"/>
        <v>63.57895833333333</v>
      </c>
      <c r="K57" s="205">
        <v>2611.92</v>
      </c>
      <c r="L57" s="205">
        <f aca="true" t="shared" si="24" ref="L57:L63">F57-K57</f>
        <v>439.8699999999999</v>
      </c>
      <c r="M57" s="267">
        <f t="shared" si="23"/>
        <v>1.1684086802046003</v>
      </c>
      <c r="N57" s="204">
        <f>E57-червень!E56</f>
        <v>370</v>
      </c>
      <c r="O57" s="208">
        <f>F57-червень!F56</f>
        <v>342.6500000000001</v>
      </c>
      <c r="P57" s="207">
        <f t="shared" si="20"/>
        <v>-27.34999999999991</v>
      </c>
      <c r="Q57" s="205">
        <f t="shared" si="16"/>
        <v>92.60810810810813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7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716.7</v>
      </c>
      <c r="G59" s="202"/>
      <c r="H59" s="204"/>
      <c r="I59" s="205"/>
      <c r="J59" s="205"/>
      <c r="K59" s="206">
        <v>683.21</v>
      </c>
      <c r="L59" s="205">
        <f t="shared" si="24"/>
        <v>33.49000000000001</v>
      </c>
      <c r="M59" s="267">
        <f t="shared" si="25"/>
        <v>1.0490186033576792</v>
      </c>
      <c r="N59" s="236"/>
      <c r="O59" s="220">
        <f>F59-червень!F58</f>
        <v>124.44000000000005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7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7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7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7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524696.81</v>
      </c>
      <c r="F64" s="191">
        <f>F8+F38+F62+F63</f>
        <v>551097.4</v>
      </c>
      <c r="G64" s="191">
        <f>F64-E64</f>
        <v>26400.589999999967</v>
      </c>
      <c r="H64" s="192">
        <f>F64/E64*100</f>
        <v>105.03158957646417</v>
      </c>
      <c r="I64" s="193">
        <f>F64-D64</f>
        <v>-332803.19999999995</v>
      </c>
      <c r="J64" s="193">
        <f>F64/D64*100</f>
        <v>62.34834550400803</v>
      </c>
      <c r="K64" s="193">
        <v>385611.99</v>
      </c>
      <c r="L64" s="193">
        <f>F64-K64</f>
        <v>165485.41000000003</v>
      </c>
      <c r="M64" s="268">
        <f>F64/K64</f>
        <v>1.429150063513326</v>
      </c>
      <c r="N64" s="191">
        <f>N8+N38+N62+N63</f>
        <v>82950.80000000003</v>
      </c>
      <c r="O64" s="191">
        <f>O8+O38+O62+O63</f>
        <v>56311.4</v>
      </c>
      <c r="P64" s="195">
        <f>O64-N64</f>
        <v>-26639.40000000003</v>
      </c>
      <c r="Q64" s="193">
        <f>O64/N64*100</f>
        <v>67.88530068426101</v>
      </c>
      <c r="R64" s="28">
        <f>O64-34768</f>
        <v>21543.4</v>
      </c>
      <c r="S64" s="128">
        <f>O64/34768</f>
        <v>1.6196329958582605</v>
      </c>
      <c r="T64" s="186">
        <f t="shared" si="8"/>
        <v>359203.7899999999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5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5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1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1535.04</v>
      </c>
      <c r="G73" s="202">
        <f aca="true" t="shared" si="26" ref="G73:G83">F73-E73</f>
        <v>-264.96000000000004</v>
      </c>
      <c r="H73" s="204"/>
      <c r="I73" s="207">
        <f aca="true" t="shared" si="27" ref="I73:I83">F73-D73</f>
        <v>-2664.96</v>
      </c>
      <c r="J73" s="207">
        <f>F73/D73*100</f>
        <v>36.54857142857143</v>
      </c>
      <c r="K73" s="207">
        <v>592.98</v>
      </c>
      <c r="L73" s="207">
        <f aca="true" t="shared" si="28" ref="L73:L83">F73-K73</f>
        <v>942.06</v>
      </c>
      <c r="M73" s="255">
        <f>F73/K73</f>
        <v>2.5886876454517855</v>
      </c>
      <c r="N73" s="204">
        <f>E73-червень!E72</f>
        <v>387</v>
      </c>
      <c r="O73" s="208">
        <f>F73-червень!F72</f>
        <v>493.02</v>
      </c>
      <c r="P73" s="207">
        <f aca="true" t="shared" si="29" ref="P73:P86">O73-N73</f>
        <v>106.01999999999998</v>
      </c>
      <c r="Q73" s="207">
        <f>O73/N73*100</f>
        <v>127.39534883720928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2623.14</v>
      </c>
      <c r="G74" s="202">
        <f t="shared" si="26"/>
        <v>-704.1700000000001</v>
      </c>
      <c r="H74" s="204">
        <f>F74/E74*100</f>
        <v>78.83665784071817</v>
      </c>
      <c r="I74" s="207">
        <f t="shared" si="27"/>
        <v>-4835.860000000001</v>
      </c>
      <c r="J74" s="207">
        <f>F74/D74*100</f>
        <v>35.16744871966752</v>
      </c>
      <c r="K74" s="207">
        <v>3579.75</v>
      </c>
      <c r="L74" s="207">
        <f t="shared" si="28"/>
        <v>-956.6100000000001</v>
      </c>
      <c r="M74" s="255">
        <f>F74/K74</f>
        <v>0.7327718416090508</v>
      </c>
      <c r="N74" s="204">
        <f>E74-червень!E73</f>
        <v>1093.6</v>
      </c>
      <c r="O74" s="208">
        <f>F74-червень!F73</f>
        <v>1687.1</v>
      </c>
      <c r="P74" s="207">
        <f t="shared" si="29"/>
        <v>593.5</v>
      </c>
      <c r="Q74" s="207">
        <f>O74/N74*100</f>
        <v>154.27029992684712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6"/>
        <v>7294.289999999999</v>
      </c>
      <c r="H75" s="204">
        <f>F75/E75*100</f>
        <v>448.20106451535906</v>
      </c>
      <c r="I75" s="207">
        <f t="shared" si="27"/>
        <v>3389.1399999999994</v>
      </c>
      <c r="J75" s="207">
        <f>F75/D75*100</f>
        <v>156.48566666666665</v>
      </c>
      <c r="K75" s="207">
        <v>1818.64</v>
      </c>
      <c r="L75" s="207">
        <f t="shared" si="28"/>
        <v>7570.499999999999</v>
      </c>
      <c r="M75" s="255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9"/>
        <v>-287.3700000000008</v>
      </c>
      <c r="Q75" s="207">
        <f>O75/N75*100</f>
        <v>4.844370860926888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5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13553.32</v>
      </c>
      <c r="G77" s="226">
        <f t="shared" si="26"/>
        <v>6324.16</v>
      </c>
      <c r="H77" s="227">
        <f>F77/E77*100</f>
        <v>187.48125646686475</v>
      </c>
      <c r="I77" s="228">
        <f t="shared" si="27"/>
        <v>-4117.68</v>
      </c>
      <c r="J77" s="228">
        <f>F77/D77*100</f>
        <v>76.69809292060438</v>
      </c>
      <c r="K77" s="228">
        <v>5991.37</v>
      </c>
      <c r="L77" s="228">
        <f t="shared" si="28"/>
        <v>7561.95</v>
      </c>
      <c r="M77" s="261">
        <f>F77/K77</f>
        <v>2.2621403785778544</v>
      </c>
      <c r="N77" s="226">
        <f>N73+N74+N75+N76</f>
        <v>1783.6</v>
      </c>
      <c r="O77" s="230">
        <f>O73+O74+O75+O76</f>
        <v>2194.749999999999</v>
      </c>
      <c r="P77" s="228">
        <f t="shared" si="29"/>
        <v>411.1499999999992</v>
      </c>
      <c r="Q77" s="228">
        <f>O77/N77*100</f>
        <v>123.05169320475437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5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5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4897.93</v>
      </c>
      <c r="G80" s="202">
        <f t="shared" si="26"/>
        <v>-229.3699999999999</v>
      </c>
      <c r="H80" s="204">
        <f>F80/E80*100</f>
        <v>95.52649542644276</v>
      </c>
      <c r="I80" s="207">
        <f t="shared" si="27"/>
        <v>-4602.07</v>
      </c>
      <c r="J80" s="207">
        <f>F80/D80*100</f>
        <v>51.55715789473685</v>
      </c>
      <c r="K80" s="207">
        <v>0</v>
      </c>
      <c r="L80" s="207">
        <f t="shared" si="28"/>
        <v>4897.93</v>
      </c>
      <c r="M80" s="255"/>
      <c r="N80" s="204">
        <f>E80-червень!E79</f>
        <v>10</v>
      </c>
      <c r="O80" s="208">
        <f>F80-червень!F79</f>
        <v>7.490000000000691</v>
      </c>
      <c r="P80" s="207">
        <f>O80-N80</f>
        <v>-2.509999999999309</v>
      </c>
      <c r="Q80" s="231">
        <f>O80/N80*100</f>
        <v>74.90000000000691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6"/>
        <v>0.81</v>
      </c>
      <c r="H81" s="204"/>
      <c r="I81" s="207">
        <f t="shared" si="27"/>
        <v>0.81</v>
      </c>
      <c r="J81" s="207"/>
      <c r="K81" s="207">
        <v>0.72</v>
      </c>
      <c r="L81" s="207">
        <f t="shared" si="28"/>
        <v>0.09000000000000008</v>
      </c>
      <c r="M81" s="255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9"/>
        <v>0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4903.950000000001</v>
      </c>
      <c r="G82" s="224">
        <f>G78+G81+G79+G80</f>
        <v>-223.34999999999988</v>
      </c>
      <c r="H82" s="227">
        <f>F82/E82*100</f>
        <v>95.64390614943538</v>
      </c>
      <c r="I82" s="228">
        <f t="shared" si="27"/>
        <v>-4597.049999999999</v>
      </c>
      <c r="J82" s="228">
        <f>F82/D82*100</f>
        <v>51.615093148089684</v>
      </c>
      <c r="K82" s="228">
        <v>0.83</v>
      </c>
      <c r="L82" s="228">
        <f t="shared" si="28"/>
        <v>4903.120000000001</v>
      </c>
      <c r="M82" s="269">
        <f>F82/K82</f>
        <v>5908.373493975905</v>
      </c>
      <c r="N82" s="226">
        <f>N78+N81+N79+N80</f>
        <v>10</v>
      </c>
      <c r="O82" s="230">
        <f>O78+O81+O79+O80</f>
        <v>7.510000000000691</v>
      </c>
      <c r="P82" s="226">
        <f>P78+P81+P79+P80</f>
        <v>-2.489999999999309</v>
      </c>
      <c r="Q82" s="228">
        <f>O82/N82*100</f>
        <v>75.1000000000069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6"/>
        <v>-1.8500000000000014</v>
      </c>
      <c r="H83" s="204">
        <f>F83/E83*100</f>
        <v>90.88669950738915</v>
      </c>
      <c r="I83" s="207">
        <f t="shared" si="27"/>
        <v>-24.55</v>
      </c>
      <c r="J83" s="207">
        <f>F83/D83*100</f>
        <v>42.90697674418604</v>
      </c>
      <c r="K83" s="207">
        <v>20.55</v>
      </c>
      <c r="L83" s="207">
        <f t="shared" si="28"/>
        <v>-2.1000000000000014</v>
      </c>
      <c r="M83" s="255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9"/>
        <v>-0.40000000000000213</v>
      </c>
      <c r="Q83" s="207">
        <f>O83/N83</f>
        <v>0.33333333333333137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18473.43</v>
      </c>
      <c r="G85" s="233">
        <f>F85-E85</f>
        <v>6096.67</v>
      </c>
      <c r="H85" s="234">
        <f>F85/E85*100</f>
        <v>149.259014475517</v>
      </c>
      <c r="I85" s="235">
        <f>F85-D85</f>
        <v>-8741.57</v>
      </c>
      <c r="J85" s="235">
        <f>F85/D85*100</f>
        <v>67.8795884622451</v>
      </c>
      <c r="K85" s="235">
        <v>5963.75</v>
      </c>
      <c r="L85" s="235">
        <f>F85-K85</f>
        <v>12509.68</v>
      </c>
      <c r="M85" s="270">
        <f>F85/K85</f>
        <v>3.0976197862083423</v>
      </c>
      <c r="N85" s="232">
        <f>N71+N83+N77+N82</f>
        <v>1794.1999999999998</v>
      </c>
      <c r="O85" s="232">
        <f>O71+O83+O77+O82+O84</f>
        <v>2202.4599999999996</v>
      </c>
      <c r="P85" s="235">
        <f t="shared" si="29"/>
        <v>408.25999999999976</v>
      </c>
      <c r="Q85" s="235">
        <f>O85/N85*100</f>
        <v>122.75443094415337</v>
      </c>
      <c r="R85" s="28">
        <f>O85-8104.96</f>
        <v>-5902.5</v>
      </c>
      <c r="S85" s="101">
        <f>O85/8104.96</f>
        <v>0.27174224178774475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537073.5700000001</v>
      </c>
      <c r="F86" s="232">
        <f>F64+F85</f>
        <v>569570.8300000001</v>
      </c>
      <c r="G86" s="233">
        <f>F86-E86</f>
        <v>32497.26000000001</v>
      </c>
      <c r="H86" s="234">
        <f>F86/E86*100</f>
        <v>106.05080231373142</v>
      </c>
      <c r="I86" s="235">
        <f>F86-D86</f>
        <v>-341544.7699999999</v>
      </c>
      <c r="J86" s="235">
        <f>F86/D86*100</f>
        <v>62.5135635917111</v>
      </c>
      <c r="K86" s="235">
        <f>K64+K85</f>
        <v>391575.74</v>
      </c>
      <c r="L86" s="235">
        <f>F86-K86</f>
        <v>177995.09000000008</v>
      </c>
      <c r="M86" s="270">
        <f>F86/K86</f>
        <v>1.4545610767408628</v>
      </c>
      <c r="N86" s="233">
        <f>N64+N85</f>
        <v>84745.00000000003</v>
      </c>
      <c r="O86" s="233">
        <f>O64+O85</f>
        <v>58513.86</v>
      </c>
      <c r="P86" s="235">
        <f t="shared" si="29"/>
        <v>-26231.14000000003</v>
      </c>
      <c r="Q86" s="235">
        <f>O86/N86*100</f>
        <v>69.04697622278599</v>
      </c>
      <c r="R86" s="28">
        <f>O86-42872.96</f>
        <v>15640.900000000001</v>
      </c>
      <c r="S86" s="101">
        <f>O86/42872.96</f>
        <v>1.364819690546209</v>
      </c>
      <c r="T86" s="186">
        <f t="shared" si="30"/>
        <v>374042.0299999999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3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8879.80000000001</v>
      </c>
      <c r="D89" s="4" t="s">
        <v>24</v>
      </c>
      <c r="G89" s="414"/>
      <c r="H89" s="414"/>
      <c r="I89" s="414"/>
      <c r="J89" s="414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42577</v>
      </c>
      <c r="D90" s="31">
        <v>3764.3</v>
      </c>
      <c r="G90" s="4" t="s">
        <v>59</v>
      </c>
      <c r="O90" s="406"/>
      <c r="P90" s="406"/>
      <c r="T90" s="186">
        <f t="shared" si="30"/>
        <v>3764.3</v>
      </c>
    </row>
    <row r="91" spans="3:16" ht="15">
      <c r="C91" s="87">
        <v>42576</v>
      </c>
      <c r="D91" s="31">
        <v>5119.4</v>
      </c>
      <c r="F91" s="124" t="s">
        <v>59</v>
      </c>
      <c r="G91" s="400"/>
      <c r="H91" s="400"/>
      <c r="I91" s="131"/>
      <c r="J91" s="403"/>
      <c r="K91" s="403"/>
      <c r="L91" s="403"/>
      <c r="M91" s="403"/>
      <c r="N91" s="403"/>
      <c r="O91" s="406"/>
      <c r="P91" s="406"/>
    </row>
    <row r="92" spans="3:16" ht="15.75" customHeight="1">
      <c r="C92" s="87">
        <v>42573</v>
      </c>
      <c r="D92" s="31">
        <v>5578.7</v>
      </c>
      <c r="F92" s="73"/>
      <c r="G92" s="400"/>
      <c r="H92" s="400"/>
      <c r="I92" s="131"/>
      <c r="J92" s="407"/>
      <c r="K92" s="407"/>
      <c r="L92" s="407"/>
      <c r="M92" s="407"/>
      <c r="N92" s="407"/>
      <c r="O92" s="406"/>
      <c r="P92" s="406"/>
    </row>
    <row r="93" spans="3:14" ht="15.75" customHeight="1">
      <c r="C93" s="87"/>
      <c r="F93" s="73"/>
      <c r="G93" s="402"/>
      <c r="H93" s="402"/>
      <c r="I93" s="139"/>
      <c r="J93" s="403"/>
      <c r="K93" s="403"/>
      <c r="L93" s="403"/>
      <c r="M93" s="403"/>
      <c r="N93" s="403"/>
    </row>
    <row r="94" spans="2:14" ht="18.75" customHeight="1">
      <c r="B94" s="404" t="s">
        <v>57</v>
      </c>
      <c r="C94" s="405"/>
      <c r="D94" s="148">
        <v>1764.09362</v>
      </c>
      <c r="E94" s="74"/>
      <c r="F94" s="140" t="s">
        <v>137</v>
      </c>
      <c r="G94" s="400"/>
      <c r="H94" s="400"/>
      <c r="I94" s="141"/>
      <c r="J94" s="403"/>
      <c r="K94" s="403"/>
      <c r="L94" s="403"/>
      <c r="M94" s="403"/>
      <c r="N94" s="403"/>
    </row>
    <row r="95" spans="6:13" ht="9.75" customHeight="1">
      <c r="F95" s="73"/>
      <c r="G95" s="400"/>
      <c r="H95" s="400"/>
      <c r="I95" s="73"/>
      <c r="J95" s="74"/>
      <c r="K95" s="74"/>
      <c r="L95" s="74"/>
      <c r="M95" s="74"/>
    </row>
    <row r="96" spans="2:13" ht="22.5" customHeight="1" hidden="1">
      <c r="B96" s="398" t="s">
        <v>60</v>
      </c>
      <c r="C96" s="399"/>
      <c r="D96" s="86">
        <v>0</v>
      </c>
      <c r="E96" s="56" t="s">
        <v>24</v>
      </c>
      <c r="F96" s="73"/>
      <c r="G96" s="400"/>
      <c r="H96" s="40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852</v>
      </c>
      <c r="F97" s="247">
        <f>F45+F48+F49</f>
        <v>361.34000000000003</v>
      </c>
      <c r="G97" s="73">
        <f>G45+G48+G49</f>
        <v>-490.65999999999997</v>
      </c>
      <c r="H97" s="74"/>
      <c r="I97" s="74"/>
      <c r="N97" s="31">
        <f>N45+N48+N49</f>
        <v>142</v>
      </c>
      <c r="O97" s="246">
        <f>O45+O48+O49</f>
        <v>115.79999999999998</v>
      </c>
      <c r="P97" s="31">
        <f>P45+P48+P49</f>
        <v>-26.200000000000017</v>
      </c>
    </row>
    <row r="98" spans="4:16" ht="15">
      <c r="D98" s="83"/>
      <c r="I98" s="31"/>
      <c r="O98" s="401"/>
      <c r="P98" s="401"/>
    </row>
    <row r="99" spans="15:16" ht="15">
      <c r="O99" s="400"/>
      <c r="P99" s="40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3" sqref="D3:D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2.00390625" style="4" customWidth="1"/>
    <col min="13" max="13" width="12.00390625" style="4" hidden="1" customWidth="1"/>
    <col min="14" max="14" width="11.00390625" style="4" hidden="1" customWidth="1"/>
    <col min="15" max="15" width="12.62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177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275"/>
      <c r="R1" s="276"/>
    </row>
    <row r="2" spans="1:18" s="1" customFormat="1" ht="21" customHeight="1">
      <c r="A2" s="277"/>
      <c r="B2" s="278"/>
      <c r="C2" s="278"/>
      <c r="D2" s="278"/>
      <c r="E2" s="279"/>
      <c r="F2" s="280"/>
      <c r="G2" s="279"/>
      <c r="H2" s="279"/>
      <c r="I2" s="281"/>
      <c r="J2" s="279"/>
      <c r="K2" s="277"/>
      <c r="L2" s="277"/>
      <c r="M2" s="277" t="s">
        <v>176</v>
      </c>
      <c r="N2" s="277"/>
      <c r="O2" s="277"/>
      <c r="P2" s="282" t="s">
        <v>24</v>
      </c>
      <c r="Q2" s="282"/>
      <c r="R2" s="283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172</v>
      </c>
      <c r="N3" s="410" t="s">
        <v>173</v>
      </c>
      <c r="O3" s="410"/>
      <c r="P3" s="410"/>
      <c r="Q3" s="410"/>
      <c r="R3" s="410"/>
    </row>
    <row r="4" spans="1:18" ht="22.5" customHeight="1">
      <c r="A4" s="423"/>
      <c r="B4" s="425"/>
      <c r="C4" s="426"/>
      <c r="D4" s="427"/>
      <c r="E4" s="433" t="s">
        <v>170</v>
      </c>
      <c r="F4" s="436" t="s">
        <v>34</v>
      </c>
      <c r="G4" s="408" t="s">
        <v>171</v>
      </c>
      <c r="H4" s="417" t="s">
        <v>175</v>
      </c>
      <c r="I4" s="408" t="s">
        <v>122</v>
      </c>
      <c r="J4" s="417" t="s">
        <v>123</v>
      </c>
      <c r="K4" s="249" t="s">
        <v>65</v>
      </c>
      <c r="L4" s="284" t="s">
        <v>64</v>
      </c>
      <c r="M4" s="417"/>
      <c r="N4" s="419" t="s">
        <v>178</v>
      </c>
      <c r="O4" s="408" t="s">
        <v>50</v>
      </c>
      <c r="P4" s="410" t="s">
        <v>49</v>
      </c>
      <c r="Q4" s="285" t="s">
        <v>65</v>
      </c>
      <c r="R4" s="286" t="s">
        <v>64</v>
      </c>
    </row>
    <row r="5" spans="1:18" ht="67.5" customHeight="1">
      <c r="A5" s="424"/>
      <c r="B5" s="425"/>
      <c r="C5" s="426"/>
      <c r="D5" s="427"/>
      <c r="E5" s="434"/>
      <c r="F5" s="437"/>
      <c r="G5" s="409"/>
      <c r="H5" s="418"/>
      <c r="I5" s="409"/>
      <c r="J5" s="418"/>
      <c r="K5" s="411" t="s">
        <v>174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48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48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7" t="s">
        <v>10</v>
      </c>
      <c r="D8" s="288">
        <f>D9+D15+D18+D19+D20+D36+D17</f>
        <v>841050</v>
      </c>
      <c r="E8" s="288">
        <f>E9+E15+E18+E19+E20+E36+E17</f>
        <v>420235.77999999997</v>
      </c>
      <c r="F8" s="289">
        <f>F9+F15+F18+F19+F20+F36+F17</f>
        <v>465511.43</v>
      </c>
      <c r="G8" s="288">
        <f aca="true" t="shared" si="0" ref="G8:G36">F8-E8</f>
        <v>45275.65000000002</v>
      </c>
      <c r="H8" s="290">
        <f>F8/E8*100</f>
        <v>110.77386842215103</v>
      </c>
      <c r="I8" s="291">
        <f>F8-D8</f>
        <v>-375538.57</v>
      </c>
      <c r="J8" s="291">
        <f>F8/D8*100</f>
        <v>55.348841329290764</v>
      </c>
      <c r="K8" s="288">
        <f>F8-305119.12</f>
        <v>160392.31</v>
      </c>
      <c r="L8" s="288">
        <f>F8/305119.12*100</f>
        <v>152.56711214951068</v>
      </c>
      <c r="M8" s="288">
        <f>M9+M15+M18+M19+M20+M17</f>
        <v>67799.29999999999</v>
      </c>
      <c r="N8" s="288">
        <f>N9+N15+N18+N19+N20+N17</f>
        <v>90516.48000000001</v>
      </c>
      <c r="O8" s="288">
        <f>N8-M8</f>
        <v>22717.180000000022</v>
      </c>
      <c r="P8" s="288">
        <f>N8/M8*100</f>
        <v>133.50651112917097</v>
      </c>
      <c r="Q8" s="292" t="e">
        <f>#N/A</f>
        <v>#N/A</v>
      </c>
      <c r="R8" s="292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3">
        <v>459700</v>
      </c>
      <c r="E9" s="293">
        <v>223904.27</v>
      </c>
      <c r="F9" s="294">
        <v>261442.54</v>
      </c>
      <c r="G9" s="293">
        <f t="shared" si="0"/>
        <v>37538.27000000002</v>
      </c>
      <c r="H9" s="294">
        <f>F9/E9*100</f>
        <v>116.7653211794487</v>
      </c>
      <c r="I9" s="295">
        <f>F9-D9</f>
        <v>-198257.46</v>
      </c>
      <c r="J9" s="295">
        <f>F9/D9*100</f>
        <v>56.87242549488797</v>
      </c>
      <c r="K9" s="296">
        <f>F9-171379.72</f>
        <v>90062.82</v>
      </c>
      <c r="L9" s="296">
        <f>F9/171379.72*100</f>
        <v>152.55162046011046</v>
      </c>
      <c r="M9" s="294">
        <f>E9-травень!E9</f>
        <v>41002</v>
      </c>
      <c r="N9" s="297">
        <f>F9-травень!F9</f>
        <v>62341.619999999995</v>
      </c>
      <c r="O9" s="298">
        <f>N9-M9</f>
        <v>21339.619999999995</v>
      </c>
      <c r="P9" s="295">
        <f>N9/M9*100</f>
        <v>152.04531486268962</v>
      </c>
      <c r="Q9" s="299"/>
      <c r="R9" s="300"/>
    </row>
    <row r="10" spans="1:18" s="6" customFormat="1" ht="18">
      <c r="A10" s="8"/>
      <c r="B10" s="136" t="s">
        <v>93</v>
      </c>
      <c r="C10" s="108">
        <v>11010100</v>
      </c>
      <c r="D10" s="301">
        <v>411440</v>
      </c>
      <c r="E10" s="301">
        <v>199295.84</v>
      </c>
      <c r="F10" s="302">
        <v>231268.41</v>
      </c>
      <c r="G10" s="301">
        <f t="shared" si="0"/>
        <v>31972.570000000007</v>
      </c>
      <c r="H10" s="303">
        <f aca="true" t="shared" si="1" ref="H10:H35">F10/E10*100</f>
        <v>116.04276837890846</v>
      </c>
      <c r="I10" s="304">
        <f aca="true" t="shared" si="2" ref="I10:I36">F10-D10</f>
        <v>-180171.59</v>
      </c>
      <c r="J10" s="304">
        <f aca="true" t="shared" si="3" ref="J10:J35">F10/D10*100</f>
        <v>56.20951049970834</v>
      </c>
      <c r="K10" s="305">
        <f>F10-152226.9</f>
        <v>79041.51000000001</v>
      </c>
      <c r="L10" s="305">
        <f>F10/152226.9*100</f>
        <v>151.92348395717184</v>
      </c>
      <c r="M10" s="302">
        <f>E10-травень!E10</f>
        <v>37450</v>
      </c>
      <c r="N10" s="306">
        <f>F10-травень!F10</f>
        <v>57100.080000000016</v>
      </c>
      <c r="O10" s="305">
        <f aca="true" t="shared" si="4" ref="O10:O36">N10-M10</f>
        <v>19650.080000000016</v>
      </c>
      <c r="P10" s="295">
        <f aca="true" t="shared" si="5" ref="P10:P16">N10/M10*100</f>
        <v>152.47017356475305</v>
      </c>
      <c r="Q10" s="307"/>
      <c r="R10" s="308"/>
    </row>
    <row r="11" spans="1:18" s="6" customFormat="1" ht="18">
      <c r="A11" s="8"/>
      <c r="B11" s="136" t="s">
        <v>89</v>
      </c>
      <c r="C11" s="108">
        <v>11010200</v>
      </c>
      <c r="D11" s="301">
        <v>23000</v>
      </c>
      <c r="E11" s="301">
        <v>14164.94</v>
      </c>
      <c r="F11" s="302">
        <v>18032.25</v>
      </c>
      <c r="G11" s="301">
        <f t="shared" si="0"/>
        <v>3867.3099999999995</v>
      </c>
      <c r="H11" s="303">
        <f t="shared" si="1"/>
        <v>127.30198645387838</v>
      </c>
      <c r="I11" s="304">
        <f t="shared" si="2"/>
        <v>-4967.75</v>
      </c>
      <c r="J11" s="304">
        <f t="shared" si="3"/>
        <v>78.40108695652174</v>
      </c>
      <c r="K11" s="305">
        <f>F11-9213.1</f>
        <v>8819.15</v>
      </c>
      <c r="L11" s="305">
        <f>F11/9213.1*100</f>
        <v>195.72402340146095</v>
      </c>
      <c r="M11" s="302">
        <f>E11-травень!E11</f>
        <v>1600</v>
      </c>
      <c r="N11" s="306">
        <f>F11-травень!F11</f>
        <v>3353</v>
      </c>
      <c r="O11" s="305">
        <f t="shared" si="4"/>
        <v>1753</v>
      </c>
      <c r="P11" s="295">
        <f t="shared" si="5"/>
        <v>209.5625</v>
      </c>
      <c r="Q11" s="307"/>
      <c r="R11" s="308"/>
    </row>
    <row r="12" spans="1:18" s="6" customFormat="1" ht="18">
      <c r="A12" s="8"/>
      <c r="B12" s="136" t="s">
        <v>92</v>
      </c>
      <c r="C12" s="108">
        <v>11010400</v>
      </c>
      <c r="D12" s="301">
        <v>6500</v>
      </c>
      <c r="E12" s="301">
        <v>2720.61</v>
      </c>
      <c r="F12" s="302">
        <v>5288.66</v>
      </c>
      <c r="G12" s="301">
        <f t="shared" si="0"/>
        <v>2568.0499999999997</v>
      </c>
      <c r="H12" s="303">
        <f t="shared" si="1"/>
        <v>194.39243404971677</v>
      </c>
      <c r="I12" s="304">
        <f t="shared" si="2"/>
        <v>-1211.3400000000001</v>
      </c>
      <c r="J12" s="304">
        <f t="shared" si="3"/>
        <v>81.364</v>
      </c>
      <c r="K12" s="305">
        <f>F12-2592.53</f>
        <v>2696.1299999999997</v>
      </c>
      <c r="L12" s="305">
        <f>F12/2592.53*100</f>
        <v>203.99609647718634</v>
      </c>
      <c r="M12" s="302">
        <f>E12-травень!E12</f>
        <v>500</v>
      </c>
      <c r="N12" s="306">
        <f>F12-травень!F12</f>
        <v>705.4300000000003</v>
      </c>
      <c r="O12" s="305">
        <f t="shared" si="4"/>
        <v>205.4300000000003</v>
      </c>
      <c r="P12" s="295">
        <f t="shared" si="5"/>
        <v>141.08600000000007</v>
      </c>
      <c r="Q12" s="307"/>
      <c r="R12" s="308"/>
    </row>
    <row r="13" spans="1:18" s="6" customFormat="1" ht="18">
      <c r="A13" s="8"/>
      <c r="B13" s="136" t="s">
        <v>90</v>
      </c>
      <c r="C13" s="108">
        <v>11010500</v>
      </c>
      <c r="D13" s="301">
        <v>12400</v>
      </c>
      <c r="E13" s="301">
        <v>4584.84</v>
      </c>
      <c r="F13" s="302">
        <v>4452.61</v>
      </c>
      <c r="G13" s="301">
        <f t="shared" si="0"/>
        <v>-132.23000000000047</v>
      </c>
      <c r="H13" s="303">
        <f t="shared" si="1"/>
        <v>97.11592989068319</v>
      </c>
      <c r="I13" s="304">
        <f t="shared" si="2"/>
        <v>-7947.39</v>
      </c>
      <c r="J13" s="304">
        <f t="shared" si="3"/>
        <v>35.90814516129032</v>
      </c>
      <c r="K13" s="305">
        <f>F13-2783.41</f>
        <v>1669.1999999999998</v>
      </c>
      <c r="L13" s="305">
        <f>F13/2783.41*100</f>
        <v>159.96960562762942</v>
      </c>
      <c r="M13" s="302">
        <f>E13-травень!E13</f>
        <v>820</v>
      </c>
      <c r="N13" s="306">
        <f>F13-травень!F13</f>
        <v>689.1699999999996</v>
      </c>
      <c r="O13" s="305">
        <f t="shared" si="4"/>
        <v>-130.83000000000038</v>
      </c>
      <c r="P13" s="295">
        <f t="shared" si="5"/>
        <v>84.04512195121947</v>
      </c>
      <c r="Q13" s="307"/>
      <c r="R13" s="308"/>
    </row>
    <row r="14" spans="1:18" s="6" customFormat="1" ht="18">
      <c r="A14" s="8"/>
      <c r="B14" s="136" t="s">
        <v>91</v>
      </c>
      <c r="C14" s="108">
        <v>11010900</v>
      </c>
      <c r="D14" s="301">
        <v>6360</v>
      </c>
      <c r="E14" s="301">
        <v>3138.04</v>
      </c>
      <c r="F14" s="302">
        <v>2400.61</v>
      </c>
      <c r="G14" s="301">
        <f t="shared" si="0"/>
        <v>-737.4299999999998</v>
      </c>
      <c r="H14" s="303">
        <f t="shared" si="1"/>
        <v>76.50029955003761</v>
      </c>
      <c r="I14" s="304">
        <f t="shared" si="2"/>
        <v>-3959.39</v>
      </c>
      <c r="J14" s="304">
        <f t="shared" si="3"/>
        <v>37.745440251572326</v>
      </c>
      <c r="K14" s="305">
        <f>F14-4563.77</f>
        <v>-2163.1600000000003</v>
      </c>
      <c r="L14" s="305">
        <f>F14/4563.77*100</f>
        <v>52.60146764626613</v>
      </c>
      <c r="M14" s="302">
        <f>E14-травень!E14</f>
        <v>632</v>
      </c>
      <c r="N14" s="306">
        <f>F14-травень!F14</f>
        <v>493.93000000000006</v>
      </c>
      <c r="O14" s="305">
        <f t="shared" si="4"/>
        <v>-138.06999999999994</v>
      </c>
      <c r="P14" s="295">
        <f t="shared" si="5"/>
        <v>78.15348101265823</v>
      </c>
      <c r="Q14" s="307"/>
      <c r="R14" s="308"/>
    </row>
    <row r="15" spans="1:18" s="6" customFormat="1" ht="30.75">
      <c r="A15" s="8"/>
      <c r="B15" s="12" t="s">
        <v>11</v>
      </c>
      <c r="C15" s="48">
        <v>11020200</v>
      </c>
      <c r="D15" s="293">
        <v>500</v>
      </c>
      <c r="E15" s="293">
        <v>240</v>
      </c>
      <c r="F15" s="294">
        <v>309.24</v>
      </c>
      <c r="G15" s="293">
        <f t="shared" si="0"/>
        <v>69.24000000000001</v>
      </c>
      <c r="H15" s="294">
        <f>F15/E15*100</f>
        <v>128.85</v>
      </c>
      <c r="I15" s="295">
        <f t="shared" si="2"/>
        <v>-190.76</v>
      </c>
      <c r="J15" s="295">
        <f t="shared" si="3"/>
        <v>61.848000000000006</v>
      </c>
      <c r="K15" s="298">
        <f>F15-(-858.14)</f>
        <v>1167.38</v>
      </c>
      <c r="L15" s="298">
        <f>F15/(-858.14)*100</f>
        <v>-36.036078029226005</v>
      </c>
      <c r="M15" s="294">
        <f>E15-травень!E15</f>
        <v>5</v>
      </c>
      <c r="N15" s="297">
        <f>F15-травень!F15</f>
        <v>0</v>
      </c>
      <c r="O15" s="298">
        <f t="shared" si="4"/>
        <v>-5</v>
      </c>
      <c r="P15" s="295">
        <f t="shared" si="5"/>
        <v>0</v>
      </c>
      <c r="Q15" s="307"/>
      <c r="R15" s="308"/>
    </row>
    <row r="16" spans="1:18" s="6" customFormat="1" ht="18" hidden="1">
      <c r="A16" s="8"/>
      <c r="B16" s="55" t="s">
        <v>67</v>
      </c>
      <c r="C16" s="108">
        <v>11010232</v>
      </c>
      <c r="D16" s="301">
        <v>0</v>
      </c>
      <c r="E16" s="301">
        <v>0</v>
      </c>
      <c r="F16" s="302">
        <v>0</v>
      </c>
      <c r="G16" s="309">
        <f t="shared" si="0"/>
        <v>0</v>
      </c>
      <c r="H16" s="303" t="e">
        <f t="shared" si="1"/>
        <v>#DIV/0!</v>
      </c>
      <c r="I16" s="307">
        <f t="shared" si="2"/>
        <v>0</v>
      </c>
      <c r="J16" s="307" t="e">
        <f t="shared" si="3"/>
        <v>#DIV/0!</v>
      </c>
      <c r="K16" s="305">
        <f>F16-(-381.9)</f>
        <v>381.9</v>
      </c>
      <c r="L16" s="305">
        <f>F16/(-381.9)*100</f>
        <v>0</v>
      </c>
      <c r="M16" s="294">
        <f>E16-травень!E16</f>
        <v>0</v>
      </c>
      <c r="N16" s="297">
        <f>F16-травень!F16</f>
        <v>0</v>
      </c>
      <c r="O16" s="310">
        <f t="shared" si="4"/>
        <v>0</v>
      </c>
      <c r="P16" s="295" t="e">
        <f t="shared" si="5"/>
        <v>#DIV/0!</v>
      </c>
      <c r="Q16" s="304">
        <f>N16-358.81</f>
        <v>-358.81</v>
      </c>
      <c r="R16" s="311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2">
        <v>0</v>
      </c>
      <c r="E17" s="312">
        <v>0</v>
      </c>
      <c r="F17" s="313">
        <v>0.17</v>
      </c>
      <c r="G17" s="312">
        <f t="shared" si="0"/>
        <v>0.17</v>
      </c>
      <c r="H17" s="313"/>
      <c r="I17" s="314">
        <f t="shared" si="2"/>
        <v>0.17</v>
      </c>
      <c r="J17" s="314"/>
      <c r="K17" s="315">
        <f>F17-0.09</f>
        <v>0.08000000000000002</v>
      </c>
      <c r="L17" s="316">
        <f>F17/0.09*100</f>
        <v>188.8888888888889</v>
      </c>
      <c r="M17" s="294">
        <f>E17-травень!E17</f>
        <v>0</v>
      </c>
      <c r="N17" s="297">
        <f>F17-травень!F17</f>
        <v>0</v>
      </c>
      <c r="O17" s="316">
        <f t="shared" si="4"/>
        <v>0</v>
      </c>
      <c r="P17" s="295"/>
      <c r="Q17" s="304"/>
      <c r="R17" s="311"/>
    </row>
    <row r="18" spans="1:18" s="6" customFormat="1" ht="30.75">
      <c r="A18" s="8"/>
      <c r="B18" s="13" t="s">
        <v>75</v>
      </c>
      <c r="C18" s="48">
        <v>13030200</v>
      </c>
      <c r="D18" s="293">
        <v>10</v>
      </c>
      <c r="E18" s="293">
        <v>10</v>
      </c>
      <c r="F18" s="294">
        <v>105.8</v>
      </c>
      <c r="G18" s="293">
        <f t="shared" si="0"/>
        <v>95.8</v>
      </c>
      <c r="H18" s="294">
        <f t="shared" si="1"/>
        <v>1058</v>
      </c>
      <c r="I18" s="295">
        <f t="shared" si="2"/>
        <v>95.8</v>
      </c>
      <c r="J18" s="295">
        <f t="shared" si="3"/>
        <v>1058</v>
      </c>
      <c r="K18" s="298">
        <f>F18-15.8</f>
        <v>90</v>
      </c>
      <c r="L18" s="298">
        <f>F18/15.8*100</f>
        <v>669.6202531645569</v>
      </c>
      <c r="M18" s="294">
        <f>E18-травень!E18</f>
        <v>0</v>
      </c>
      <c r="N18" s="297">
        <f>F18-травень!F18</f>
        <v>0</v>
      </c>
      <c r="O18" s="298">
        <f t="shared" si="4"/>
        <v>0</v>
      </c>
      <c r="P18" s="295"/>
      <c r="Q18" s="307"/>
      <c r="R18" s="308"/>
    </row>
    <row r="19" spans="1:18" s="6" customFormat="1" ht="46.5">
      <c r="A19" s="8"/>
      <c r="B19" s="49" t="s">
        <v>74</v>
      </c>
      <c r="C19" s="48">
        <v>14040000</v>
      </c>
      <c r="D19" s="293">
        <v>109900</v>
      </c>
      <c r="E19" s="293">
        <v>47860.4</v>
      </c>
      <c r="F19" s="294">
        <v>44512.02</v>
      </c>
      <c r="G19" s="293">
        <f t="shared" si="0"/>
        <v>-3348.3800000000047</v>
      </c>
      <c r="H19" s="294">
        <f t="shared" si="1"/>
        <v>93.00386122974315</v>
      </c>
      <c r="I19" s="295">
        <f t="shared" si="2"/>
        <v>-65387.98</v>
      </c>
      <c r="J19" s="295">
        <f t="shared" si="3"/>
        <v>40.50229299363057</v>
      </c>
      <c r="K19" s="317">
        <f>F19-30116.49</f>
        <v>14395.529999999995</v>
      </c>
      <c r="L19" s="317">
        <f>F19/30116.49*100</f>
        <v>147.79949456261335</v>
      </c>
      <c r="M19" s="294">
        <f>E19-травень!E19</f>
        <v>9800</v>
      </c>
      <c r="N19" s="297">
        <f>F19-травень!F19</f>
        <v>9281.46</v>
      </c>
      <c r="O19" s="298">
        <f t="shared" si="4"/>
        <v>-518.5400000000009</v>
      </c>
      <c r="P19" s="295">
        <f aca="true" t="shared" si="6" ref="P19:P24">N19/M19*100</f>
        <v>94.70877551020406</v>
      </c>
      <c r="Q19" s="318"/>
      <c r="R19" s="319"/>
    </row>
    <row r="20" spans="1:18" s="6" customFormat="1" ht="18">
      <c r="A20" s="8"/>
      <c r="B20" s="130" t="s">
        <v>76</v>
      </c>
      <c r="C20" s="48">
        <v>18000000</v>
      </c>
      <c r="D20" s="293">
        <f>D21+D29+D31</f>
        <v>270940</v>
      </c>
      <c r="E20" s="293">
        <f>E21+E29+E31</f>
        <v>148221.11</v>
      </c>
      <c r="F20" s="320">
        <f>F21+F29+F31+F30</f>
        <v>159141.66</v>
      </c>
      <c r="G20" s="293">
        <f t="shared" si="0"/>
        <v>10920.550000000017</v>
      </c>
      <c r="H20" s="294">
        <f t="shared" si="1"/>
        <v>107.36774269198229</v>
      </c>
      <c r="I20" s="295">
        <f t="shared" si="2"/>
        <v>-111798.34</v>
      </c>
      <c r="J20" s="295">
        <f t="shared" si="3"/>
        <v>58.73686425038754</v>
      </c>
      <c r="K20" s="295">
        <f>F20-100444.36</f>
        <v>58697.3</v>
      </c>
      <c r="L20" s="295">
        <f>F20/100444.36*100</f>
        <v>158.4376265626064</v>
      </c>
      <c r="M20" s="294">
        <f>M21+M29+M30+M31</f>
        <v>16992.299999999985</v>
      </c>
      <c r="N20" s="297">
        <f>F20-травень!F20</f>
        <v>18893.400000000023</v>
      </c>
      <c r="O20" s="298">
        <f t="shared" si="4"/>
        <v>1901.1000000000386</v>
      </c>
      <c r="P20" s="295">
        <f t="shared" si="6"/>
        <v>111.18800868628756</v>
      </c>
      <c r="Q20" s="318"/>
      <c r="R20" s="319"/>
    </row>
    <row r="21" spans="1:18" s="6" customFormat="1" ht="18">
      <c r="A21" s="8"/>
      <c r="B21" s="49" t="s">
        <v>84</v>
      </c>
      <c r="C21" s="127">
        <v>18010000</v>
      </c>
      <c r="D21" s="293">
        <f>D22+D25+D26</f>
        <v>161400</v>
      </c>
      <c r="E21" s="293">
        <f>E22+E25+E26</f>
        <v>78143.36</v>
      </c>
      <c r="F21" s="293">
        <f>F22+F25+F26</f>
        <v>85994.39</v>
      </c>
      <c r="G21" s="293">
        <f t="shared" si="0"/>
        <v>7851.029999999999</v>
      </c>
      <c r="H21" s="294">
        <f t="shared" si="1"/>
        <v>110.04695728466245</v>
      </c>
      <c r="I21" s="295">
        <f t="shared" si="2"/>
        <v>-75405.61</v>
      </c>
      <c r="J21" s="295">
        <f t="shared" si="3"/>
        <v>53.280291201982656</v>
      </c>
      <c r="K21" s="295">
        <f>F21-54757.32</f>
        <v>31237.07</v>
      </c>
      <c r="L21" s="295">
        <f>F21/54757.32*100</f>
        <v>157.04638210927783</v>
      </c>
      <c r="M21" s="294">
        <f>M22+M25+M26</f>
        <v>13047.099999999999</v>
      </c>
      <c r="N21" s="297">
        <f>F21-травень!F21</f>
        <v>14454.25</v>
      </c>
      <c r="O21" s="298">
        <f t="shared" si="4"/>
        <v>1407.1500000000015</v>
      </c>
      <c r="P21" s="295">
        <f t="shared" si="6"/>
        <v>110.7851553218723</v>
      </c>
      <c r="Q21" s="318"/>
      <c r="R21" s="319"/>
    </row>
    <row r="22" spans="1:20" s="6" customFormat="1" ht="18">
      <c r="A22" s="8"/>
      <c r="B22" s="55" t="s">
        <v>77</v>
      </c>
      <c r="C22" s="138"/>
      <c r="D22" s="321">
        <v>18500</v>
      </c>
      <c r="E22" s="321">
        <v>8611.6</v>
      </c>
      <c r="F22" s="322">
        <v>9233.59</v>
      </c>
      <c r="G22" s="321">
        <f t="shared" si="0"/>
        <v>621.9899999999998</v>
      </c>
      <c r="H22" s="322">
        <f t="shared" si="1"/>
        <v>107.2226996144735</v>
      </c>
      <c r="I22" s="323">
        <f t="shared" si="2"/>
        <v>-9266.41</v>
      </c>
      <c r="J22" s="323">
        <f t="shared" si="3"/>
        <v>49.911297297297295</v>
      </c>
      <c r="K22" s="324">
        <f>F22-4957.1</f>
        <v>4276.49</v>
      </c>
      <c r="L22" s="324">
        <f>F22/4957.1*100</f>
        <v>186.26999657057553</v>
      </c>
      <c r="M22" s="322">
        <f>E22-травень!E22</f>
        <v>240</v>
      </c>
      <c r="N22" s="325">
        <f>F22-травень!F22</f>
        <v>593.4400000000005</v>
      </c>
      <c r="O22" s="326">
        <f t="shared" si="4"/>
        <v>353.4400000000005</v>
      </c>
      <c r="P22" s="323">
        <f t="shared" si="6"/>
        <v>247.26666666666688</v>
      </c>
      <c r="Q22" s="318"/>
      <c r="R22" s="319"/>
      <c r="T22" s="186"/>
    </row>
    <row r="23" spans="1:20" s="6" customFormat="1" ht="22.5" customHeight="1" hidden="1">
      <c r="A23" s="8"/>
      <c r="B23" s="237" t="s">
        <v>164</v>
      </c>
      <c r="C23" s="238"/>
      <c r="D23" s="327">
        <v>2000</v>
      </c>
      <c r="E23" s="327">
        <v>389.1</v>
      </c>
      <c r="F23" s="313">
        <v>342.1</v>
      </c>
      <c r="G23" s="327">
        <f t="shared" si="0"/>
        <v>-47</v>
      </c>
      <c r="H23" s="328">
        <f t="shared" si="1"/>
        <v>87.92084297095862</v>
      </c>
      <c r="I23" s="329">
        <f t="shared" si="2"/>
        <v>-1657.9</v>
      </c>
      <c r="J23" s="329">
        <f t="shared" si="3"/>
        <v>17.105</v>
      </c>
      <c r="K23" s="330">
        <f>F23-284.18</f>
        <v>57.920000000000016</v>
      </c>
      <c r="L23" s="330">
        <f>F23/284.18*100</f>
        <v>120.38144837778873</v>
      </c>
      <c r="M23" s="331">
        <f>E23-травень!E23</f>
        <v>40</v>
      </c>
      <c r="N23" s="331">
        <f>F23-травень!F23</f>
        <v>78.45000000000005</v>
      </c>
      <c r="O23" s="332">
        <f t="shared" si="4"/>
        <v>38.450000000000045</v>
      </c>
      <c r="P23" s="332">
        <f t="shared" si="6"/>
        <v>196.1250000000001</v>
      </c>
      <c r="Q23" s="318"/>
      <c r="R23" s="319"/>
      <c r="T23" s="186"/>
    </row>
    <row r="24" spans="1:20" s="6" customFormat="1" ht="18" hidden="1">
      <c r="A24" s="8"/>
      <c r="B24" s="237" t="s">
        <v>165</v>
      </c>
      <c r="C24" s="238"/>
      <c r="D24" s="327">
        <v>16500</v>
      </c>
      <c r="E24" s="327">
        <v>8222.5</v>
      </c>
      <c r="F24" s="313">
        <v>8891.49</v>
      </c>
      <c r="G24" s="327">
        <f t="shared" si="0"/>
        <v>668.9899999999998</v>
      </c>
      <c r="H24" s="328">
        <f t="shared" si="1"/>
        <v>108.13608999695956</v>
      </c>
      <c r="I24" s="329">
        <f t="shared" si="2"/>
        <v>-7608.51</v>
      </c>
      <c r="J24" s="329">
        <f t="shared" si="3"/>
        <v>53.88781818181818</v>
      </c>
      <c r="K24" s="330">
        <f>F24-4672.92</f>
        <v>4218.57</v>
      </c>
      <c r="L24" s="330">
        <f>F24/4672.92*100</f>
        <v>190.27695744844763</v>
      </c>
      <c r="M24" s="331">
        <f>E24-травень!E24</f>
        <v>200</v>
      </c>
      <c r="N24" s="331">
        <f>F24-травень!F24</f>
        <v>514.9899999999998</v>
      </c>
      <c r="O24" s="332">
        <f t="shared" si="4"/>
        <v>314.9899999999998</v>
      </c>
      <c r="P24" s="332">
        <f t="shared" si="6"/>
        <v>257.4949999999999</v>
      </c>
      <c r="Q24" s="318"/>
      <c r="R24" s="319"/>
      <c r="T24" s="186"/>
    </row>
    <row r="25" spans="1:18" s="6" customFormat="1" ht="18">
      <c r="A25" s="8"/>
      <c r="B25" s="55" t="s">
        <v>78</v>
      </c>
      <c r="C25" s="138"/>
      <c r="D25" s="321">
        <v>2800</v>
      </c>
      <c r="E25" s="321">
        <v>276.84</v>
      </c>
      <c r="F25" s="322">
        <v>435.05</v>
      </c>
      <c r="G25" s="321">
        <f t="shared" si="0"/>
        <v>158.21000000000004</v>
      </c>
      <c r="H25" s="322">
        <f t="shared" si="1"/>
        <v>157.1485334489236</v>
      </c>
      <c r="I25" s="323">
        <f t="shared" si="2"/>
        <v>-2364.95</v>
      </c>
      <c r="J25" s="323">
        <f t="shared" si="3"/>
        <v>15.537500000000001</v>
      </c>
      <c r="K25" s="323">
        <f>F25-210.68</f>
        <v>224.37</v>
      </c>
      <c r="L25" s="323">
        <f>F25/210.68*100</f>
        <v>206.49800645528762</v>
      </c>
      <c r="M25" s="322">
        <f>E25-травень!E25</f>
        <v>0</v>
      </c>
      <c r="N25" s="325">
        <f>F25-травень!F25</f>
        <v>14.970000000000027</v>
      </c>
      <c r="O25" s="326">
        <f t="shared" si="4"/>
        <v>14.970000000000027</v>
      </c>
      <c r="P25" s="323"/>
      <c r="Q25" s="318"/>
      <c r="R25" s="319"/>
    </row>
    <row r="26" spans="1:18" s="6" customFormat="1" ht="18">
      <c r="A26" s="8"/>
      <c r="B26" s="55" t="s">
        <v>79</v>
      </c>
      <c r="C26" s="138"/>
      <c r="D26" s="321">
        <v>140100</v>
      </c>
      <c r="E26" s="321">
        <v>69254.92</v>
      </c>
      <c r="F26" s="322">
        <v>76325.75</v>
      </c>
      <c r="G26" s="321">
        <f t="shared" si="0"/>
        <v>7070.830000000002</v>
      </c>
      <c r="H26" s="322">
        <f t="shared" si="1"/>
        <v>110.2098594583605</v>
      </c>
      <c r="I26" s="323">
        <f t="shared" si="2"/>
        <v>-63774.25</v>
      </c>
      <c r="J26" s="323">
        <f t="shared" si="3"/>
        <v>54.4794789436117</v>
      </c>
      <c r="K26" s="324">
        <f>F26-49589.53</f>
        <v>26736.22</v>
      </c>
      <c r="L26" s="324">
        <f>F26/49589.53*100</f>
        <v>153.9150502132204</v>
      </c>
      <c r="M26" s="322">
        <f>E26-травень!E26</f>
        <v>12807.099999999999</v>
      </c>
      <c r="N26" s="325">
        <f>F26-травень!F26</f>
        <v>13845.839999999997</v>
      </c>
      <c r="O26" s="326">
        <f t="shared" si="4"/>
        <v>1038.739999999998</v>
      </c>
      <c r="P26" s="323">
        <f>N26/M26*100</f>
        <v>108.11065736974021</v>
      </c>
      <c r="Q26" s="318"/>
      <c r="R26" s="319"/>
    </row>
    <row r="27" spans="1:18" s="6" customFormat="1" ht="18" hidden="1">
      <c r="A27" s="8"/>
      <c r="B27" s="237" t="s">
        <v>166</v>
      </c>
      <c r="C27" s="238"/>
      <c r="D27" s="327">
        <v>38057</v>
      </c>
      <c r="E27" s="327">
        <v>19429.75</v>
      </c>
      <c r="F27" s="313">
        <v>23736.85</v>
      </c>
      <c r="G27" s="327">
        <f t="shared" si="0"/>
        <v>4307.0999999999985</v>
      </c>
      <c r="H27" s="328">
        <f t="shared" si="1"/>
        <v>122.16755233597961</v>
      </c>
      <c r="I27" s="329">
        <f t="shared" si="2"/>
        <v>-14320.150000000001</v>
      </c>
      <c r="J27" s="329">
        <f t="shared" si="3"/>
        <v>62.371836981370045</v>
      </c>
      <c r="K27" s="330">
        <f>F27-12926</f>
        <v>10810.849999999999</v>
      </c>
      <c r="L27" s="330">
        <f>F27/12926*100</f>
        <v>183.63646913198204</v>
      </c>
      <c r="M27" s="331">
        <f>E27-12724.05</f>
        <v>6705.700000000001</v>
      </c>
      <c r="N27" s="331">
        <f>F27-15205.9</f>
        <v>8530.949999999999</v>
      </c>
      <c r="O27" s="332">
        <f t="shared" si="4"/>
        <v>1825.2499999999982</v>
      </c>
      <c r="P27" s="332">
        <f>N27/M27*100</f>
        <v>127.2193805270143</v>
      </c>
      <c r="Q27" s="318"/>
      <c r="R27" s="319"/>
    </row>
    <row r="28" spans="1:18" s="6" customFormat="1" ht="18" hidden="1">
      <c r="A28" s="8"/>
      <c r="B28" s="237" t="s">
        <v>167</v>
      </c>
      <c r="C28" s="238"/>
      <c r="D28" s="327">
        <v>102043</v>
      </c>
      <c r="E28" s="327">
        <v>49825.17</v>
      </c>
      <c r="F28" s="313">
        <v>52588.89</v>
      </c>
      <c r="G28" s="327">
        <f t="shared" si="0"/>
        <v>2763.720000000001</v>
      </c>
      <c r="H28" s="328">
        <f t="shared" si="1"/>
        <v>105.54683506348297</v>
      </c>
      <c r="I28" s="329">
        <f t="shared" si="2"/>
        <v>-49454.11</v>
      </c>
      <c r="J28" s="329">
        <f t="shared" si="3"/>
        <v>51.53600932940034</v>
      </c>
      <c r="K28" s="330">
        <f>F28-36663.53</f>
        <v>15925.36</v>
      </c>
      <c r="L28" s="330">
        <f>F28/36663.53*100</f>
        <v>143.4365157964877</v>
      </c>
      <c r="M28" s="331">
        <f>E28-32053.77</f>
        <v>17771.399999999998</v>
      </c>
      <c r="N28" s="331">
        <f>F28-34030.56</f>
        <v>18558.33</v>
      </c>
      <c r="O28" s="332">
        <f t="shared" si="4"/>
        <v>786.9300000000039</v>
      </c>
      <c r="P28" s="332">
        <f>N28/M28*100</f>
        <v>104.42806982004798</v>
      </c>
      <c r="Q28" s="318"/>
      <c r="R28" s="319"/>
    </row>
    <row r="29" spans="1:18" s="6" customFormat="1" ht="18">
      <c r="A29" s="8"/>
      <c r="B29" s="49" t="s">
        <v>85</v>
      </c>
      <c r="C29" s="127">
        <v>18030000</v>
      </c>
      <c r="D29" s="293">
        <v>77</v>
      </c>
      <c r="E29" s="293">
        <v>35.71</v>
      </c>
      <c r="F29" s="294">
        <v>55.62</v>
      </c>
      <c r="G29" s="293">
        <f t="shared" si="0"/>
        <v>19.909999999999997</v>
      </c>
      <c r="H29" s="294">
        <f t="shared" si="1"/>
        <v>155.75469056286752</v>
      </c>
      <c r="I29" s="295">
        <f t="shared" si="2"/>
        <v>-21.380000000000003</v>
      </c>
      <c r="J29" s="295">
        <f t="shared" si="3"/>
        <v>72.23376623376623</v>
      </c>
      <c r="K29" s="295">
        <f>F29-37.42</f>
        <v>18.199999999999996</v>
      </c>
      <c r="L29" s="295">
        <f>F29/37.42*100</f>
        <v>148.63709246392304</v>
      </c>
      <c r="M29" s="294">
        <f>E29-травень!E29</f>
        <v>5.199999999999999</v>
      </c>
      <c r="N29" s="297">
        <f>F29-травень!F29</f>
        <v>4.479999999999997</v>
      </c>
      <c r="O29" s="298">
        <f t="shared" si="4"/>
        <v>-0.7200000000000024</v>
      </c>
      <c r="P29" s="295">
        <f>N29/M29*100</f>
        <v>86.1538461538461</v>
      </c>
      <c r="Q29" s="318"/>
      <c r="R29" s="319"/>
    </row>
    <row r="30" spans="1:18" s="6" customFormat="1" ht="49.5" customHeight="1">
      <c r="A30" s="8"/>
      <c r="B30" s="49" t="s">
        <v>86</v>
      </c>
      <c r="C30" s="127">
        <v>18040000</v>
      </c>
      <c r="D30" s="293"/>
      <c r="E30" s="293"/>
      <c r="F30" s="294">
        <v>-125.04</v>
      </c>
      <c r="G30" s="293">
        <f t="shared" si="0"/>
        <v>-125.04</v>
      </c>
      <c r="H30" s="294"/>
      <c r="I30" s="295">
        <f t="shared" si="2"/>
        <v>-125.04</v>
      </c>
      <c r="J30" s="295"/>
      <c r="K30" s="295">
        <f>F30-(-403.36)</f>
        <v>278.32</v>
      </c>
      <c r="L30" s="295">
        <f>F30/(-403.36)*100</f>
        <v>30.999603332011105</v>
      </c>
      <c r="M30" s="294">
        <f>E30-травень!E30</f>
        <v>0</v>
      </c>
      <c r="N30" s="297">
        <f>F30-травень!F30</f>
        <v>-15.320000000000007</v>
      </c>
      <c r="O30" s="298">
        <f t="shared" si="4"/>
        <v>-15.320000000000007</v>
      </c>
      <c r="P30" s="295"/>
      <c r="Q30" s="318"/>
      <c r="R30" s="319"/>
    </row>
    <row r="31" spans="1:18" s="6" customFormat="1" ht="18">
      <c r="A31" s="8"/>
      <c r="B31" s="49" t="s">
        <v>87</v>
      </c>
      <c r="C31" s="127">
        <v>18050000</v>
      </c>
      <c r="D31" s="312">
        <v>109463</v>
      </c>
      <c r="E31" s="312">
        <v>70042.04</v>
      </c>
      <c r="F31" s="313">
        <v>73216.69</v>
      </c>
      <c r="G31" s="312">
        <f t="shared" si="0"/>
        <v>3174.6500000000087</v>
      </c>
      <c r="H31" s="313">
        <f t="shared" si="1"/>
        <v>104.53249220039851</v>
      </c>
      <c r="I31" s="314">
        <f t="shared" si="2"/>
        <v>-36246.31</v>
      </c>
      <c r="J31" s="314">
        <f t="shared" si="3"/>
        <v>66.8871582178453</v>
      </c>
      <c r="K31" s="333">
        <f>F31-46052.97</f>
        <v>27163.72</v>
      </c>
      <c r="L31" s="333">
        <f>F31/46052.97*100</f>
        <v>158.98364426876267</v>
      </c>
      <c r="M31" s="294">
        <f>E31-травень!E31</f>
        <v>3939.9999999999854</v>
      </c>
      <c r="N31" s="297">
        <f>F31-травень!F31</f>
        <v>4449.990000000005</v>
      </c>
      <c r="O31" s="316">
        <f t="shared" si="4"/>
        <v>509.9900000000198</v>
      </c>
      <c r="P31" s="314">
        <f>N31/M31*100</f>
        <v>112.94390862944216</v>
      </c>
      <c r="Q31" s="318"/>
      <c r="R31" s="319"/>
    </row>
    <row r="32" spans="1:18" s="6" customFormat="1" ht="15" hidden="1">
      <c r="A32" s="8"/>
      <c r="B32" s="55" t="s">
        <v>94</v>
      </c>
      <c r="C32" s="108">
        <v>18050200</v>
      </c>
      <c r="D32" s="301">
        <v>0</v>
      </c>
      <c r="E32" s="301">
        <v>0</v>
      </c>
      <c r="F32" s="302">
        <v>0.18</v>
      </c>
      <c r="G32" s="301">
        <f t="shared" si="0"/>
        <v>0.18</v>
      </c>
      <c r="H32" s="302"/>
      <c r="I32" s="304">
        <f t="shared" si="2"/>
        <v>0.18</v>
      </c>
      <c r="J32" s="304"/>
      <c r="K32" s="334">
        <f>F32-(-1.2)</f>
        <v>1.38</v>
      </c>
      <c r="L32" s="334"/>
      <c r="M32" s="302">
        <f>E32-травень!E32</f>
        <v>0</v>
      </c>
      <c r="N32" s="306">
        <f>F32-травень!F32</f>
        <v>0</v>
      </c>
      <c r="O32" s="305">
        <f t="shared" si="4"/>
        <v>0</v>
      </c>
      <c r="P32" s="304"/>
      <c r="Q32" s="318"/>
      <c r="R32" s="319"/>
    </row>
    <row r="33" spans="1:18" s="6" customFormat="1" ht="15" hidden="1">
      <c r="A33" s="8"/>
      <c r="B33" s="55" t="s">
        <v>95</v>
      </c>
      <c r="C33" s="108">
        <v>18050300</v>
      </c>
      <c r="D33" s="301">
        <v>27600</v>
      </c>
      <c r="E33" s="301">
        <v>17695.97</v>
      </c>
      <c r="F33" s="302">
        <v>18313.06</v>
      </c>
      <c r="G33" s="301">
        <f t="shared" si="0"/>
        <v>617.0900000000001</v>
      </c>
      <c r="H33" s="302">
        <f t="shared" si="1"/>
        <v>103.48717815412209</v>
      </c>
      <c r="I33" s="304">
        <f t="shared" si="2"/>
        <v>-9286.939999999999</v>
      </c>
      <c r="J33" s="304">
        <f t="shared" si="3"/>
        <v>66.35166666666667</v>
      </c>
      <c r="K33" s="334">
        <f>F33-11423.16</f>
        <v>6889.9000000000015</v>
      </c>
      <c r="L33" s="334">
        <f>F33/11423.16*100</f>
        <v>160.3151842397375</v>
      </c>
      <c r="M33" s="302">
        <f>E33-травень!E33</f>
        <v>940</v>
      </c>
      <c r="N33" s="306">
        <f>F33-травень!F33</f>
        <v>761</v>
      </c>
      <c r="O33" s="305">
        <f t="shared" si="4"/>
        <v>-179</v>
      </c>
      <c r="P33" s="304">
        <f>N33/M33*100</f>
        <v>80.95744680851064</v>
      </c>
      <c r="Q33" s="318"/>
      <c r="R33" s="319"/>
    </row>
    <row r="34" spans="1:18" s="6" customFormat="1" ht="15" hidden="1">
      <c r="A34" s="8"/>
      <c r="B34" s="55" t="s">
        <v>96</v>
      </c>
      <c r="C34" s="108">
        <v>18050400</v>
      </c>
      <c r="D34" s="301">
        <v>81812</v>
      </c>
      <c r="E34" s="301">
        <v>52336.08</v>
      </c>
      <c r="F34" s="302">
        <v>54889.45</v>
      </c>
      <c r="G34" s="301">
        <f t="shared" si="0"/>
        <v>2553.3699999999953</v>
      </c>
      <c r="H34" s="302">
        <f t="shared" si="1"/>
        <v>104.87879489636975</v>
      </c>
      <c r="I34" s="304">
        <f t="shared" si="2"/>
        <v>-26922.550000000003</v>
      </c>
      <c r="J34" s="304">
        <f t="shared" si="3"/>
        <v>67.09217474209163</v>
      </c>
      <c r="K34" s="334">
        <f>F34-34622.85</f>
        <v>20266.6</v>
      </c>
      <c r="L34" s="334">
        <f>F34/34622.85*100</f>
        <v>158.5353314357426</v>
      </c>
      <c r="M34" s="302">
        <f>E34-травень!E34</f>
        <v>3000</v>
      </c>
      <c r="N34" s="306">
        <f>F34-травень!F34</f>
        <v>3688.989999999998</v>
      </c>
      <c r="O34" s="305">
        <f t="shared" si="4"/>
        <v>688.989999999998</v>
      </c>
      <c r="P34" s="304">
        <f>N34/M34*100</f>
        <v>122.96633333333327</v>
      </c>
      <c r="Q34" s="318"/>
      <c r="R34" s="319"/>
    </row>
    <row r="35" spans="1:18" s="6" customFormat="1" ht="15" hidden="1">
      <c r="A35" s="8"/>
      <c r="B35" s="55" t="s">
        <v>97</v>
      </c>
      <c r="C35" s="108">
        <v>18050500</v>
      </c>
      <c r="D35" s="301">
        <v>51</v>
      </c>
      <c r="E35" s="301">
        <v>9.99</v>
      </c>
      <c r="F35" s="302">
        <v>14.01</v>
      </c>
      <c r="G35" s="301">
        <f t="shared" si="0"/>
        <v>4.02</v>
      </c>
      <c r="H35" s="302">
        <f t="shared" si="1"/>
        <v>140.24024024024024</v>
      </c>
      <c r="I35" s="304">
        <f t="shared" si="2"/>
        <v>-36.99</v>
      </c>
      <c r="J35" s="304">
        <f t="shared" si="3"/>
        <v>27.47058823529412</v>
      </c>
      <c r="K35" s="334">
        <f>F35-8.17</f>
        <v>5.84</v>
      </c>
      <c r="L35" s="334">
        <f>F35/8.17*100</f>
        <v>171.4810281517748</v>
      </c>
      <c r="M35" s="302">
        <f>E35-травень!E35</f>
        <v>0</v>
      </c>
      <c r="N35" s="306">
        <f>F35-травень!F35</f>
        <v>0</v>
      </c>
      <c r="O35" s="305">
        <f t="shared" si="4"/>
        <v>0</v>
      </c>
      <c r="P35" s="304"/>
      <c r="Q35" s="318"/>
      <c r="R35" s="319"/>
    </row>
    <row r="36" spans="1:18" s="6" customFormat="1" ht="15" customHeight="1" hidden="1">
      <c r="A36" s="8"/>
      <c r="B36" s="49" t="s">
        <v>47</v>
      </c>
      <c r="C36" s="48">
        <v>19010000</v>
      </c>
      <c r="D36" s="309">
        <v>0</v>
      </c>
      <c r="E36" s="309">
        <v>0</v>
      </c>
      <c r="F36" s="309">
        <v>0</v>
      </c>
      <c r="G36" s="309">
        <f t="shared" si="0"/>
        <v>0</v>
      </c>
      <c r="H36" s="303"/>
      <c r="I36" s="307">
        <f t="shared" si="2"/>
        <v>0</v>
      </c>
      <c r="J36" s="307"/>
      <c r="K36" s="335">
        <f>F36-4020.8</f>
        <v>-4020.8</v>
      </c>
      <c r="L36" s="335">
        <f>F36/2014.1*100</f>
        <v>0</v>
      </c>
      <c r="M36" s="303">
        <v>0</v>
      </c>
      <c r="N36" s="336">
        <f>F36-травень!F36</f>
        <v>0</v>
      </c>
      <c r="O36" s="310">
        <f t="shared" si="4"/>
        <v>0</v>
      </c>
      <c r="P36" s="307"/>
      <c r="Q36" s="318"/>
      <c r="R36" s="319"/>
    </row>
    <row r="37" spans="1:18" s="6" customFormat="1" ht="17.25">
      <c r="A37" s="7"/>
      <c r="B37" s="16" t="s">
        <v>12</v>
      </c>
      <c r="C37" s="287">
        <v>20000000</v>
      </c>
      <c r="D37" s="288">
        <f>D38+D39+D40+D41+D42+D44+D46+D47+D48+D49+D50+D55+D56+D60</f>
        <v>42820</v>
      </c>
      <c r="E37" s="288">
        <f>E38+E39+E40+E41+E42+E44+E46+E47+E48+E49+E50+E55+E56+E60</f>
        <v>21498.029999999995</v>
      </c>
      <c r="F37" s="289">
        <f>F38+F39+F40+F41+F42+F44+F46+F47+F48+F49+F50+F55+F56+F60+F43</f>
        <v>29260.649999999994</v>
      </c>
      <c r="G37" s="288">
        <f>G38+G39+G40+G41+G42+G44+G46+G47+G48+G49+G50+G55+G56+G60</f>
        <v>7749.02</v>
      </c>
      <c r="H37" s="290">
        <f>F37/E37*100</f>
        <v>136.10851785024022</v>
      </c>
      <c r="I37" s="291">
        <f>F37-D37</f>
        <v>-13559.350000000006</v>
      </c>
      <c r="J37" s="291">
        <f>F37/D37*100</f>
        <v>68.33407286314804</v>
      </c>
      <c r="K37" s="288">
        <f>F37-15873</f>
        <v>13387.649999999994</v>
      </c>
      <c r="L37" s="288">
        <f>F37/15873*100</f>
        <v>184.3422793422793</v>
      </c>
      <c r="M37" s="288">
        <f>M38+M39+M40+M41+M42+M44+M46+M47+M48+M49+M50+M55+M56+M60</f>
        <v>3691.0000000000005</v>
      </c>
      <c r="N37" s="288">
        <f>N38+N39+N40+N41+N42+N44+N46+N47+N48+N49+N50+N55+N56+N60+N43</f>
        <v>6420.2300000000005</v>
      </c>
      <c r="O37" s="288">
        <f>O38+O39+O40+O41+O42+O44+O46+O47+O48+O49+O50+O55+O56+O60</f>
        <v>2722.4300000000007</v>
      </c>
      <c r="P37" s="288">
        <f>N37/M37*100</f>
        <v>173.94283392034677</v>
      </c>
      <c r="Q37" s="292" t="e">
        <f>#N/A</f>
        <v>#N/A</v>
      </c>
      <c r="R37" s="292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3">
        <v>100</v>
      </c>
      <c r="E38" s="293">
        <v>67</v>
      </c>
      <c r="F38" s="294">
        <v>240.17</v>
      </c>
      <c r="G38" s="312">
        <f>F38-E38</f>
        <v>173.17</v>
      </c>
      <c r="H38" s="313">
        <f aca="true" t="shared" si="7" ref="H38:H61">F38/E38*100</f>
        <v>358.46268656716416</v>
      </c>
      <c r="I38" s="314">
        <f>F38-D38</f>
        <v>140.17</v>
      </c>
      <c r="J38" s="314">
        <f>F38/D38*100</f>
        <v>240.17</v>
      </c>
      <c r="K38" s="314">
        <f>F38-100.4</f>
        <v>139.76999999999998</v>
      </c>
      <c r="L38" s="314">
        <f>F38/100.4*100</f>
        <v>239.21314741035852</v>
      </c>
      <c r="M38" s="313">
        <f>E38-травень!E38</f>
        <v>3</v>
      </c>
      <c r="N38" s="337">
        <f>F38-травень!F38</f>
        <v>0</v>
      </c>
      <c r="O38" s="316">
        <f>N38-M38</f>
        <v>-3</v>
      </c>
      <c r="P38" s="314">
        <f aca="true" t="shared" si="8" ref="P38:P61">N38/M38*100</f>
        <v>0</v>
      </c>
      <c r="Q38" s="307"/>
      <c r="R38" s="308"/>
    </row>
    <row r="39" spans="1:18" s="6" customFormat="1" ht="30.75">
      <c r="A39" s="8"/>
      <c r="B39" s="144" t="s">
        <v>80</v>
      </c>
      <c r="C39" s="338">
        <v>21050000</v>
      </c>
      <c r="D39" s="293">
        <v>10000</v>
      </c>
      <c r="E39" s="293">
        <v>6537</v>
      </c>
      <c r="F39" s="294">
        <v>13895.81</v>
      </c>
      <c r="G39" s="312">
        <f aca="true" t="shared" si="9" ref="G39:G62">F39-E39</f>
        <v>7358.8099999999995</v>
      </c>
      <c r="H39" s="313">
        <f t="shared" si="7"/>
        <v>212.57166896129723</v>
      </c>
      <c r="I39" s="314">
        <f aca="true" t="shared" si="10" ref="I39:I62">F39-D39</f>
        <v>3895.8099999999995</v>
      </c>
      <c r="J39" s="314">
        <f>F39/D39*100</f>
        <v>138.9581</v>
      </c>
      <c r="K39" s="314">
        <f>F39-0</f>
        <v>13895.81</v>
      </c>
      <c r="L39" s="314"/>
      <c r="M39" s="313">
        <f>E39-травень!E39</f>
        <v>1000</v>
      </c>
      <c r="N39" s="337">
        <f>F39-травень!F39</f>
        <v>3797.08</v>
      </c>
      <c r="O39" s="316">
        <f aca="true" t="shared" si="11" ref="O39:O62">N39-M39</f>
        <v>2797.08</v>
      </c>
      <c r="P39" s="314">
        <f t="shared" si="8"/>
        <v>379.70799999999997</v>
      </c>
      <c r="Q39" s="307"/>
      <c r="R39" s="308"/>
    </row>
    <row r="40" spans="1:18" s="6" customFormat="1" ht="18">
      <c r="A40" s="8"/>
      <c r="B40" s="144" t="s">
        <v>62</v>
      </c>
      <c r="C40" s="338">
        <v>21080500</v>
      </c>
      <c r="D40" s="293">
        <v>400</v>
      </c>
      <c r="E40" s="293">
        <v>111.44</v>
      </c>
      <c r="F40" s="294">
        <v>28.07</v>
      </c>
      <c r="G40" s="312">
        <f t="shared" si="9"/>
        <v>-83.37</v>
      </c>
      <c r="H40" s="313">
        <f t="shared" si="7"/>
        <v>25.18844221105528</v>
      </c>
      <c r="I40" s="314">
        <f t="shared" si="10"/>
        <v>-371.93</v>
      </c>
      <c r="J40" s="314">
        <f aca="true" t="shared" si="12" ref="J40:J61">F40/D40*100</f>
        <v>7.0175</v>
      </c>
      <c r="K40" s="314">
        <f>F40-188.18</f>
        <v>-160.11</v>
      </c>
      <c r="L40" s="314">
        <f>F40/188.18*100</f>
        <v>14.9165692422149</v>
      </c>
      <c r="M40" s="313">
        <f>E40-травень!E40</f>
        <v>20</v>
      </c>
      <c r="N40" s="337">
        <f>F40-травень!F40</f>
        <v>0.5599999999999987</v>
      </c>
      <c r="O40" s="316">
        <f t="shared" si="11"/>
        <v>-19.44</v>
      </c>
      <c r="P40" s="314">
        <f t="shared" si="8"/>
        <v>2.7999999999999936</v>
      </c>
      <c r="Q40" s="307"/>
      <c r="R40" s="308"/>
    </row>
    <row r="41" spans="1:18" s="6" customFormat="1" ht="30.75">
      <c r="A41" s="8"/>
      <c r="B41" s="339" t="s">
        <v>40</v>
      </c>
      <c r="C41" s="340">
        <v>21080900</v>
      </c>
      <c r="D41" s="293">
        <f>6.5-6.5</f>
        <v>0</v>
      </c>
      <c r="E41" s="293">
        <v>0</v>
      </c>
      <c r="F41" s="294">
        <v>0.1</v>
      </c>
      <c r="G41" s="312">
        <f t="shared" si="9"/>
        <v>0.1</v>
      </c>
      <c r="H41" s="313"/>
      <c r="I41" s="314">
        <f t="shared" si="10"/>
        <v>0.1</v>
      </c>
      <c r="J41" s="314"/>
      <c r="K41" s="314">
        <f>F41-0</f>
        <v>0.1</v>
      </c>
      <c r="L41" s="314"/>
      <c r="M41" s="313">
        <f>E41-травень!E41</f>
        <v>0</v>
      </c>
      <c r="N41" s="337">
        <f>F41-травень!F41</f>
        <v>0</v>
      </c>
      <c r="O41" s="316">
        <f t="shared" si="11"/>
        <v>0</v>
      </c>
      <c r="P41" s="314"/>
      <c r="Q41" s="307"/>
      <c r="R41" s="308"/>
    </row>
    <row r="42" spans="1:18" s="6" customFormat="1" ht="18">
      <c r="A42" s="8"/>
      <c r="B42" s="145" t="s">
        <v>16</v>
      </c>
      <c r="C42" s="48">
        <v>21081100</v>
      </c>
      <c r="D42" s="293">
        <v>150</v>
      </c>
      <c r="E42" s="293">
        <v>60</v>
      </c>
      <c r="F42" s="294">
        <v>60.97</v>
      </c>
      <c r="G42" s="312">
        <f t="shared" si="9"/>
        <v>0.9699999999999989</v>
      </c>
      <c r="H42" s="313">
        <f t="shared" si="7"/>
        <v>101.61666666666666</v>
      </c>
      <c r="I42" s="314">
        <f t="shared" si="10"/>
        <v>-89.03</v>
      </c>
      <c r="J42" s="314">
        <f t="shared" si="12"/>
        <v>40.64666666666666</v>
      </c>
      <c r="K42" s="314">
        <f>F42-81.62</f>
        <v>-20.650000000000006</v>
      </c>
      <c r="L42" s="314">
        <f>F42/81.62*100</f>
        <v>74.69982847341338</v>
      </c>
      <c r="M42" s="313">
        <f>E42-травень!E42</f>
        <v>10</v>
      </c>
      <c r="N42" s="337">
        <f>F42-травень!F42</f>
        <v>10.57</v>
      </c>
      <c r="O42" s="316">
        <f t="shared" si="11"/>
        <v>0.5700000000000003</v>
      </c>
      <c r="P42" s="314">
        <f t="shared" si="8"/>
        <v>105.69999999999999</v>
      </c>
      <c r="Q42" s="307"/>
      <c r="R42" s="308"/>
    </row>
    <row r="43" spans="1:18" s="6" customFormat="1" ht="46.5">
      <c r="A43" s="8"/>
      <c r="B43" s="145" t="s">
        <v>83</v>
      </c>
      <c r="C43" s="48">
        <v>21081500</v>
      </c>
      <c r="D43" s="293">
        <v>0</v>
      </c>
      <c r="E43" s="293">
        <v>0</v>
      </c>
      <c r="F43" s="294">
        <v>13.6</v>
      </c>
      <c r="G43" s="312">
        <f t="shared" si="9"/>
        <v>13.6</v>
      </c>
      <c r="H43" s="313"/>
      <c r="I43" s="314">
        <f t="shared" si="10"/>
        <v>13.6</v>
      </c>
      <c r="J43" s="314"/>
      <c r="K43" s="314">
        <f>F43-2.5</f>
        <v>11.1</v>
      </c>
      <c r="L43" s="314">
        <f>F43/2.5*100</f>
        <v>544</v>
      </c>
      <c r="M43" s="313">
        <f>E43-травень!E43</f>
        <v>0</v>
      </c>
      <c r="N43" s="337">
        <f>F43-травень!F43</f>
        <v>6.8</v>
      </c>
      <c r="O43" s="316"/>
      <c r="P43" s="314"/>
      <c r="Q43" s="307"/>
      <c r="R43" s="308"/>
    </row>
    <row r="44" spans="1:18" s="6" customFormat="1" ht="30.75">
      <c r="A44" s="8"/>
      <c r="B44" s="145" t="s">
        <v>124</v>
      </c>
      <c r="C44" s="341">
        <v>22010300</v>
      </c>
      <c r="D44" s="293">
        <v>90</v>
      </c>
      <c r="E44" s="293">
        <v>40</v>
      </c>
      <c r="F44" s="294">
        <v>168.08</v>
      </c>
      <c r="G44" s="312">
        <f t="shared" si="9"/>
        <v>128.08</v>
      </c>
      <c r="H44" s="313">
        <f t="shared" si="7"/>
        <v>420.2</v>
      </c>
      <c r="I44" s="314">
        <f t="shared" si="10"/>
        <v>78.08000000000001</v>
      </c>
      <c r="J44" s="314">
        <f t="shared" si="12"/>
        <v>186.75555555555556</v>
      </c>
      <c r="K44" s="314">
        <f>F44-0</f>
        <v>168.08</v>
      </c>
      <c r="L44" s="314"/>
      <c r="M44" s="313">
        <f>E44-травень!E44</f>
        <v>8</v>
      </c>
      <c r="N44" s="337">
        <f>F44-травень!F44</f>
        <v>91.75000000000001</v>
      </c>
      <c r="O44" s="316">
        <f t="shared" si="11"/>
        <v>83.75000000000001</v>
      </c>
      <c r="P44" s="314">
        <f t="shared" si="8"/>
        <v>1146.8750000000002</v>
      </c>
      <c r="Q44" s="307"/>
      <c r="R44" s="308"/>
    </row>
    <row r="45" spans="1:18" s="6" customFormat="1" ht="18" hidden="1">
      <c r="A45" s="8"/>
      <c r="B45" s="145"/>
      <c r="C45" s="341"/>
      <c r="D45" s="293"/>
      <c r="E45" s="293"/>
      <c r="F45" s="294"/>
      <c r="G45" s="312"/>
      <c r="H45" s="313"/>
      <c r="I45" s="314"/>
      <c r="J45" s="314"/>
      <c r="K45" s="314"/>
      <c r="L45" s="314"/>
      <c r="M45" s="313">
        <f>E45-травень!E45</f>
        <v>0</v>
      </c>
      <c r="N45" s="337">
        <f>F45-травень!F45</f>
        <v>0</v>
      </c>
      <c r="O45" s="316"/>
      <c r="P45" s="314"/>
      <c r="Q45" s="307"/>
      <c r="R45" s="308"/>
    </row>
    <row r="46" spans="1:18" s="6" customFormat="1" ht="18">
      <c r="A46" s="8"/>
      <c r="B46" s="342" t="s">
        <v>81</v>
      </c>
      <c r="C46" s="48">
        <v>22012500</v>
      </c>
      <c r="D46" s="293">
        <v>9900</v>
      </c>
      <c r="E46" s="293">
        <v>4539.02</v>
      </c>
      <c r="F46" s="294">
        <v>5001.06</v>
      </c>
      <c r="G46" s="312">
        <f t="shared" si="9"/>
        <v>462.03999999999996</v>
      </c>
      <c r="H46" s="313">
        <f t="shared" si="7"/>
        <v>110.17928980264462</v>
      </c>
      <c r="I46" s="314">
        <f t="shared" si="10"/>
        <v>-4898.94</v>
      </c>
      <c r="J46" s="314">
        <f t="shared" si="12"/>
        <v>50.51575757575758</v>
      </c>
      <c r="K46" s="314">
        <f>F46-4927.6</f>
        <v>73.46000000000004</v>
      </c>
      <c r="L46" s="314">
        <f>F46/4927.6*100</f>
        <v>101.4907865898206</v>
      </c>
      <c r="M46" s="313">
        <f>E46-травень!E46</f>
        <v>800.0000000000005</v>
      </c>
      <c r="N46" s="337">
        <f>F46-травень!F46</f>
        <v>943.6500000000005</v>
      </c>
      <c r="O46" s="316">
        <f t="shared" si="11"/>
        <v>143.6500000000001</v>
      </c>
      <c r="P46" s="314">
        <f t="shared" si="8"/>
        <v>117.95625000000001</v>
      </c>
      <c r="Q46" s="307"/>
      <c r="R46" s="308"/>
    </row>
    <row r="47" spans="1:18" s="6" customFormat="1" ht="30.75">
      <c r="A47" s="8"/>
      <c r="B47" s="342" t="s">
        <v>111</v>
      </c>
      <c r="C47" s="48">
        <v>22012600</v>
      </c>
      <c r="D47" s="293">
        <v>1500</v>
      </c>
      <c r="E47" s="293">
        <v>650</v>
      </c>
      <c r="F47" s="294">
        <v>68.92</v>
      </c>
      <c r="G47" s="312">
        <f t="shared" si="9"/>
        <v>-581.08</v>
      </c>
      <c r="H47" s="313">
        <f t="shared" si="7"/>
        <v>10.603076923076923</v>
      </c>
      <c r="I47" s="314">
        <f t="shared" si="10"/>
        <v>-1431.08</v>
      </c>
      <c r="J47" s="314">
        <f t="shared" si="12"/>
        <v>4.594666666666667</v>
      </c>
      <c r="K47" s="314">
        <f>F47-0</f>
        <v>68.92</v>
      </c>
      <c r="L47" s="314"/>
      <c r="M47" s="313">
        <f>E47-травень!E47</f>
        <v>130</v>
      </c>
      <c r="N47" s="337">
        <f>F47-травень!F47</f>
        <v>34.99</v>
      </c>
      <c r="O47" s="316">
        <f t="shared" si="11"/>
        <v>-95.00999999999999</v>
      </c>
      <c r="P47" s="314">
        <f t="shared" si="8"/>
        <v>26.915384615384617</v>
      </c>
      <c r="Q47" s="307"/>
      <c r="R47" s="308"/>
    </row>
    <row r="48" spans="1:18" s="6" customFormat="1" ht="30.75">
      <c r="A48" s="8"/>
      <c r="B48" s="342" t="s">
        <v>125</v>
      </c>
      <c r="C48" s="48">
        <v>22012900</v>
      </c>
      <c r="D48" s="293">
        <v>50</v>
      </c>
      <c r="E48" s="293">
        <v>20</v>
      </c>
      <c r="F48" s="294">
        <v>8.54</v>
      </c>
      <c r="G48" s="312">
        <f t="shared" si="9"/>
        <v>-11.46</v>
      </c>
      <c r="H48" s="313">
        <f t="shared" si="7"/>
        <v>42.699999999999996</v>
      </c>
      <c r="I48" s="314">
        <f t="shared" si="10"/>
        <v>-41.46</v>
      </c>
      <c r="J48" s="314">
        <f t="shared" si="12"/>
        <v>17.08</v>
      </c>
      <c r="K48" s="314">
        <f>F48-0</f>
        <v>8.54</v>
      </c>
      <c r="L48" s="314"/>
      <c r="M48" s="313">
        <f>E48-травень!E48</f>
        <v>4</v>
      </c>
      <c r="N48" s="337">
        <f>F48-травень!F48</f>
        <v>0.8199999999999994</v>
      </c>
      <c r="O48" s="316">
        <f t="shared" si="11"/>
        <v>-3.1800000000000006</v>
      </c>
      <c r="P48" s="314">
        <f t="shared" si="8"/>
        <v>20.499999999999986</v>
      </c>
      <c r="Q48" s="307"/>
      <c r="R48" s="308"/>
    </row>
    <row r="49" spans="1:18" s="6" customFormat="1" ht="30.75">
      <c r="A49" s="8"/>
      <c r="B49" s="145" t="s">
        <v>14</v>
      </c>
      <c r="C49" s="341">
        <v>22080400</v>
      </c>
      <c r="D49" s="293">
        <v>8500</v>
      </c>
      <c r="E49" s="293">
        <v>3966.23</v>
      </c>
      <c r="F49" s="294">
        <v>3928.05</v>
      </c>
      <c r="G49" s="312">
        <f t="shared" si="9"/>
        <v>-38.179999999999836</v>
      </c>
      <c r="H49" s="313">
        <f t="shared" si="7"/>
        <v>99.037373021736</v>
      </c>
      <c r="I49" s="314">
        <f t="shared" si="10"/>
        <v>-4571.95</v>
      </c>
      <c r="J49" s="314">
        <f t="shared" si="12"/>
        <v>46.21235294117647</v>
      </c>
      <c r="K49" s="314">
        <f>F49-4302.71</f>
        <v>-374.65999999999985</v>
      </c>
      <c r="L49" s="314">
        <f>F49/4302.71*100</f>
        <v>91.29246451654888</v>
      </c>
      <c r="M49" s="313">
        <f>E49-травень!E49</f>
        <v>650</v>
      </c>
      <c r="N49" s="337">
        <f>F49-травень!F49</f>
        <v>623.8100000000004</v>
      </c>
      <c r="O49" s="316">
        <f t="shared" si="11"/>
        <v>-26.1899999999996</v>
      </c>
      <c r="P49" s="314">
        <f t="shared" si="8"/>
        <v>95.97076923076929</v>
      </c>
      <c r="Q49" s="307"/>
      <c r="R49" s="308"/>
    </row>
    <row r="50" spans="1:18" s="6" customFormat="1" ht="18">
      <c r="A50" s="8"/>
      <c r="B50" s="145" t="s">
        <v>15</v>
      </c>
      <c r="C50" s="48">
        <v>22090000</v>
      </c>
      <c r="D50" s="293">
        <v>7300</v>
      </c>
      <c r="E50" s="293">
        <v>3219.19</v>
      </c>
      <c r="F50" s="294">
        <v>3094.63</v>
      </c>
      <c r="G50" s="312">
        <f t="shared" si="9"/>
        <v>-124.55999999999995</v>
      </c>
      <c r="H50" s="313">
        <f t="shared" si="7"/>
        <v>96.13070368633103</v>
      </c>
      <c r="I50" s="314">
        <f t="shared" si="10"/>
        <v>-4205.37</v>
      </c>
      <c r="J50" s="314">
        <f t="shared" si="12"/>
        <v>42.39219178082192</v>
      </c>
      <c r="K50" s="314">
        <f>F50-4033.24</f>
        <v>-938.6099999999997</v>
      </c>
      <c r="L50" s="314">
        <f>F50/4033.24*100</f>
        <v>76.7281391635509</v>
      </c>
      <c r="M50" s="313">
        <f>E50-травень!E50</f>
        <v>666</v>
      </c>
      <c r="N50" s="337">
        <f>F50-травень!F50</f>
        <v>521.1700000000001</v>
      </c>
      <c r="O50" s="316">
        <f t="shared" si="11"/>
        <v>-144.82999999999993</v>
      </c>
      <c r="P50" s="314">
        <f t="shared" si="8"/>
        <v>78.25375375375376</v>
      </c>
      <c r="Q50" s="307"/>
      <c r="R50" s="308"/>
    </row>
    <row r="51" spans="1:18" s="6" customFormat="1" ht="15">
      <c r="A51" s="8"/>
      <c r="B51" s="55" t="s">
        <v>101</v>
      </c>
      <c r="C51" s="138">
        <v>22090100</v>
      </c>
      <c r="D51" s="301">
        <v>1100</v>
      </c>
      <c r="E51" s="301">
        <v>551.99</v>
      </c>
      <c r="F51" s="302">
        <v>420.67</v>
      </c>
      <c r="G51" s="309">
        <f t="shared" si="9"/>
        <v>-131.32</v>
      </c>
      <c r="H51" s="303">
        <f t="shared" si="7"/>
        <v>76.2097139440932</v>
      </c>
      <c r="I51" s="304">
        <f t="shared" si="10"/>
        <v>-679.3299999999999</v>
      </c>
      <c r="J51" s="304">
        <f t="shared" si="12"/>
        <v>38.24272727272727</v>
      </c>
      <c r="K51" s="304">
        <f>F51-582.74</f>
        <v>-162.07</v>
      </c>
      <c r="L51" s="304">
        <f>F51/582.74*100</f>
        <v>72.18828293921817</v>
      </c>
      <c r="M51" s="302">
        <f>E51-травень!E51</f>
        <v>185</v>
      </c>
      <c r="N51" s="306">
        <f>F51-травень!F51</f>
        <v>53.120000000000005</v>
      </c>
      <c r="O51" s="305">
        <f t="shared" si="11"/>
        <v>-131.88</v>
      </c>
      <c r="P51" s="335">
        <f t="shared" si="8"/>
        <v>28.713513513513515</v>
      </c>
      <c r="Q51" s="307"/>
      <c r="R51" s="308"/>
    </row>
    <row r="52" spans="1:18" s="6" customFormat="1" ht="15">
      <c r="A52" s="8"/>
      <c r="B52" s="55" t="s">
        <v>98</v>
      </c>
      <c r="C52" s="138">
        <v>22090200</v>
      </c>
      <c r="D52" s="301">
        <v>45</v>
      </c>
      <c r="E52" s="301">
        <v>5.04</v>
      </c>
      <c r="F52" s="302">
        <v>0.24</v>
      </c>
      <c r="G52" s="309">
        <f t="shared" si="9"/>
        <v>-4.8</v>
      </c>
      <c r="H52" s="303">
        <f t="shared" si="7"/>
        <v>4.761904761904762</v>
      </c>
      <c r="I52" s="304">
        <f t="shared" si="10"/>
        <v>-44.76</v>
      </c>
      <c r="J52" s="304">
        <f t="shared" si="12"/>
        <v>0.5333333333333333</v>
      </c>
      <c r="K52" s="304">
        <f>F52-45.15</f>
        <v>-44.91</v>
      </c>
      <c r="L52" s="304">
        <f>F52/45.15*100</f>
        <v>0.53156146179402</v>
      </c>
      <c r="M52" s="302">
        <f>E52-травень!E52</f>
        <v>1</v>
      </c>
      <c r="N52" s="306">
        <f>F52-травень!F52</f>
        <v>0.009999999999999981</v>
      </c>
      <c r="O52" s="305">
        <f t="shared" si="11"/>
        <v>-0.99</v>
      </c>
      <c r="P52" s="335">
        <f t="shared" si="8"/>
        <v>0.9999999999999981</v>
      </c>
      <c r="Q52" s="307"/>
      <c r="R52" s="308"/>
    </row>
    <row r="53" spans="1:18" s="6" customFormat="1" ht="15">
      <c r="A53" s="8"/>
      <c r="B53" s="55" t="s">
        <v>99</v>
      </c>
      <c r="C53" s="138">
        <v>22090300</v>
      </c>
      <c r="D53" s="301">
        <v>1</v>
      </c>
      <c r="E53" s="301">
        <v>0</v>
      </c>
      <c r="F53" s="302">
        <v>0.02</v>
      </c>
      <c r="G53" s="309">
        <f t="shared" si="9"/>
        <v>0.02</v>
      </c>
      <c r="H53" s="303"/>
      <c r="I53" s="304">
        <f t="shared" si="10"/>
        <v>-0.98</v>
      </c>
      <c r="J53" s="304">
        <f t="shared" si="12"/>
        <v>2</v>
      </c>
      <c r="K53" s="304">
        <f>F53-0.75</f>
        <v>-0.73</v>
      </c>
      <c r="L53" s="304">
        <f>F53/0.75*100</f>
        <v>2.666666666666667</v>
      </c>
      <c r="M53" s="302">
        <f>E53-травень!E53</f>
        <v>0</v>
      </c>
      <c r="N53" s="306">
        <f>F53-травень!F53</f>
        <v>0</v>
      </c>
      <c r="O53" s="305">
        <f t="shared" si="11"/>
        <v>0</v>
      </c>
      <c r="P53" s="335"/>
      <c r="Q53" s="307"/>
      <c r="R53" s="308"/>
    </row>
    <row r="54" spans="1:18" s="6" customFormat="1" ht="15">
      <c r="A54" s="8"/>
      <c r="B54" s="55" t="s">
        <v>100</v>
      </c>
      <c r="C54" s="138">
        <v>22090400</v>
      </c>
      <c r="D54" s="301">
        <v>6154</v>
      </c>
      <c r="E54" s="301">
        <v>2662.17</v>
      </c>
      <c r="F54" s="302">
        <v>2673.71</v>
      </c>
      <c r="G54" s="309">
        <f t="shared" si="9"/>
        <v>11.539999999999964</v>
      </c>
      <c r="H54" s="303">
        <f t="shared" si="7"/>
        <v>100.43348095726418</v>
      </c>
      <c r="I54" s="304">
        <f t="shared" si="10"/>
        <v>-3480.29</v>
      </c>
      <c r="J54" s="304">
        <f t="shared" si="12"/>
        <v>43.44670133246669</v>
      </c>
      <c r="K54" s="304">
        <f>F54-3404.6</f>
        <v>-730.8899999999999</v>
      </c>
      <c r="L54" s="304">
        <f>F54/3404.6*100</f>
        <v>78.53227985666452</v>
      </c>
      <c r="M54" s="302">
        <f>E54-травень!E54</f>
        <v>480</v>
      </c>
      <c r="N54" s="306">
        <f>F54-травень!F54</f>
        <v>468.03999999999996</v>
      </c>
      <c r="O54" s="305">
        <f t="shared" si="11"/>
        <v>-11.960000000000036</v>
      </c>
      <c r="P54" s="335">
        <f t="shared" si="8"/>
        <v>97.50833333333333</v>
      </c>
      <c r="Q54" s="307"/>
      <c r="R54" s="308"/>
    </row>
    <row r="55" spans="1:18" s="6" customFormat="1" ht="46.5">
      <c r="A55" s="8"/>
      <c r="B55" s="13" t="s">
        <v>17</v>
      </c>
      <c r="C55" s="11" t="s">
        <v>18</v>
      </c>
      <c r="D55" s="293">
        <v>10</v>
      </c>
      <c r="E55" s="293">
        <v>0.17</v>
      </c>
      <c r="F55" s="294">
        <v>2.46</v>
      </c>
      <c r="G55" s="312">
        <f t="shared" si="9"/>
        <v>2.29</v>
      </c>
      <c r="H55" s="313">
        <f t="shared" si="7"/>
        <v>1447.0588235294117</v>
      </c>
      <c r="I55" s="314">
        <f t="shared" si="10"/>
        <v>-7.54</v>
      </c>
      <c r="J55" s="314">
        <f t="shared" si="12"/>
        <v>24.6</v>
      </c>
      <c r="K55" s="314">
        <f>F55-0</f>
        <v>2.46</v>
      </c>
      <c r="L55" s="314"/>
      <c r="M55" s="313">
        <f>E55-травень!E55</f>
        <v>0</v>
      </c>
      <c r="N55" s="337">
        <f>F55-травень!F55</f>
        <v>0</v>
      </c>
      <c r="O55" s="316">
        <f t="shared" si="11"/>
        <v>0</v>
      </c>
      <c r="P55" s="314"/>
      <c r="Q55" s="307"/>
      <c r="R55" s="308"/>
    </row>
    <row r="56" spans="1:18" s="6" customFormat="1" ht="15.75" customHeight="1">
      <c r="A56" s="8"/>
      <c r="B56" s="146" t="s">
        <v>13</v>
      </c>
      <c r="C56" s="11" t="s">
        <v>19</v>
      </c>
      <c r="D56" s="293">
        <v>4800</v>
      </c>
      <c r="E56" s="293">
        <v>2267.98</v>
      </c>
      <c r="F56" s="294">
        <v>2709.14</v>
      </c>
      <c r="G56" s="312">
        <f t="shared" si="9"/>
        <v>441.15999999999985</v>
      </c>
      <c r="H56" s="313">
        <f t="shared" si="7"/>
        <v>119.45167064965298</v>
      </c>
      <c r="I56" s="314">
        <f t="shared" si="10"/>
        <v>-2090.86</v>
      </c>
      <c r="J56" s="314">
        <f t="shared" si="12"/>
        <v>56.44041666666666</v>
      </c>
      <c r="K56" s="314">
        <f>F56-2236.15</f>
        <v>472.9899999999998</v>
      </c>
      <c r="L56" s="314">
        <f>F56/2236.15*100</f>
        <v>121.15197996556581</v>
      </c>
      <c r="M56" s="313">
        <f>E56-травень!E56</f>
        <v>400</v>
      </c>
      <c r="N56" s="337">
        <f>F56-травень!F56</f>
        <v>389.02999999999975</v>
      </c>
      <c r="O56" s="316">
        <f t="shared" si="11"/>
        <v>-10.970000000000255</v>
      </c>
      <c r="P56" s="314">
        <f t="shared" si="8"/>
        <v>97.25749999999994</v>
      </c>
      <c r="Q56" s="307"/>
      <c r="R56" s="308"/>
    </row>
    <row r="57" spans="1:18" s="6" customFormat="1" ht="18" hidden="1">
      <c r="A57" s="8"/>
      <c r="B57" s="12" t="s">
        <v>22</v>
      </c>
      <c r="C57" s="66" t="s">
        <v>23</v>
      </c>
      <c r="D57" s="343">
        <v>0</v>
      </c>
      <c r="E57" s="343">
        <v>0</v>
      </c>
      <c r="F57" s="303">
        <v>0</v>
      </c>
      <c r="G57" s="312">
        <f t="shared" si="9"/>
        <v>0</v>
      </c>
      <c r="H57" s="313" t="e">
        <f t="shared" si="7"/>
        <v>#DIV/0!</v>
      </c>
      <c r="I57" s="314">
        <f t="shared" si="10"/>
        <v>0</v>
      </c>
      <c r="J57" s="314" t="e">
        <f t="shared" si="12"/>
        <v>#DIV/0!</v>
      </c>
      <c r="K57" s="314"/>
      <c r="L57" s="314">
        <f>F57</f>
        <v>0</v>
      </c>
      <c r="M57" s="313">
        <f>E57-квітень!E53</f>
        <v>0</v>
      </c>
      <c r="N57" s="337">
        <f>F57-квітень!F53</f>
        <v>0</v>
      </c>
      <c r="O57" s="316">
        <f t="shared" si="11"/>
        <v>0</v>
      </c>
      <c r="P57" s="314" t="e">
        <f t="shared" si="8"/>
        <v>#DIV/0!</v>
      </c>
      <c r="Q57" s="307"/>
      <c r="R57" s="308"/>
    </row>
    <row r="58" spans="1:18" s="6" customFormat="1" ht="30.75">
      <c r="A58" s="8"/>
      <c r="B58" s="55" t="s">
        <v>43</v>
      </c>
      <c r="C58" s="66"/>
      <c r="D58" s="301"/>
      <c r="E58" s="301"/>
      <c r="F58" s="344">
        <f>591.66+0.6</f>
        <v>592.26</v>
      </c>
      <c r="G58" s="312"/>
      <c r="H58" s="313"/>
      <c r="I58" s="314"/>
      <c r="J58" s="314"/>
      <c r="K58" s="315">
        <f>F58-577.4</f>
        <v>14.860000000000014</v>
      </c>
      <c r="L58" s="315">
        <f>F58/577.4*100</f>
        <v>102.57360581918947</v>
      </c>
      <c r="M58" s="344"/>
      <c r="N58" s="345">
        <f>F58-травень!F58</f>
        <v>113.58999999999997</v>
      </c>
      <c r="O58" s="315"/>
      <c r="P58" s="314"/>
      <c r="Q58" s="307"/>
      <c r="R58" s="308"/>
    </row>
    <row r="59" spans="1:18" s="6" customFormat="1" ht="18" hidden="1">
      <c r="A59" s="8"/>
      <c r="B59" s="146" t="s">
        <v>20</v>
      </c>
      <c r="C59" s="143" t="s">
        <v>21</v>
      </c>
      <c r="D59" s="309">
        <v>0</v>
      </c>
      <c r="E59" s="309">
        <v>0</v>
      </c>
      <c r="F59" s="346">
        <v>0</v>
      </c>
      <c r="G59" s="312">
        <f t="shared" si="9"/>
        <v>0</v>
      </c>
      <c r="H59" s="313"/>
      <c r="I59" s="314">
        <f t="shared" si="10"/>
        <v>0</v>
      </c>
      <c r="J59" s="314"/>
      <c r="K59" s="315"/>
      <c r="L59" s="315"/>
      <c r="M59" s="313">
        <f>E59-квітень!E55</f>
        <v>0</v>
      </c>
      <c r="N59" s="337">
        <f>F59-квітень!F55</f>
        <v>0</v>
      </c>
      <c r="O59" s="316">
        <f t="shared" si="11"/>
        <v>0</v>
      </c>
      <c r="P59" s="314"/>
      <c r="Q59" s="307"/>
      <c r="R59" s="308"/>
    </row>
    <row r="60" spans="1:18" s="6" customFormat="1" ht="44.25" customHeight="1">
      <c r="A60" s="8"/>
      <c r="B60" s="146" t="s">
        <v>44</v>
      </c>
      <c r="C60" s="48">
        <v>24061900</v>
      </c>
      <c r="D60" s="293">
        <v>20</v>
      </c>
      <c r="E60" s="293">
        <v>20</v>
      </c>
      <c r="F60" s="294">
        <v>41.05</v>
      </c>
      <c r="G60" s="312">
        <f t="shared" si="9"/>
        <v>21.049999999999997</v>
      </c>
      <c r="H60" s="313">
        <f t="shared" si="7"/>
        <v>205.24999999999997</v>
      </c>
      <c r="I60" s="314">
        <f t="shared" si="10"/>
        <v>21.049999999999997</v>
      </c>
      <c r="J60" s="314">
        <f t="shared" si="12"/>
        <v>205.24999999999997</v>
      </c>
      <c r="K60" s="314">
        <f>F60-0.6</f>
        <v>40.449999999999996</v>
      </c>
      <c r="L60" s="314">
        <f>F60/0.6*100</f>
        <v>6841.666666666667</v>
      </c>
      <c r="M60" s="313">
        <f>E60-травень!E60</f>
        <v>0</v>
      </c>
      <c r="N60" s="337">
        <f>F60-травень!F60</f>
        <v>0</v>
      </c>
      <c r="O60" s="316">
        <f t="shared" si="11"/>
        <v>0</v>
      </c>
      <c r="P60" s="314"/>
      <c r="Q60" s="307"/>
      <c r="R60" s="308"/>
    </row>
    <row r="61" spans="1:18" s="6" customFormat="1" ht="30.75">
      <c r="A61" s="8"/>
      <c r="B61" s="12" t="s">
        <v>45</v>
      </c>
      <c r="C61" s="48">
        <v>31010200</v>
      </c>
      <c r="D61" s="293">
        <v>30</v>
      </c>
      <c r="E61" s="293">
        <v>12.2</v>
      </c>
      <c r="F61" s="294">
        <v>13.52</v>
      </c>
      <c r="G61" s="312">
        <f t="shared" si="9"/>
        <v>1.3200000000000003</v>
      </c>
      <c r="H61" s="313">
        <f t="shared" si="7"/>
        <v>110.81967213114754</v>
      </c>
      <c r="I61" s="314">
        <f t="shared" si="10"/>
        <v>-16.48</v>
      </c>
      <c r="J61" s="314">
        <f t="shared" si="12"/>
        <v>45.06666666666666</v>
      </c>
      <c r="K61" s="314">
        <f>F61-6.52</f>
        <v>7</v>
      </c>
      <c r="L61" s="314">
        <f>F61/6.52*100</f>
        <v>207.36196319018404</v>
      </c>
      <c r="M61" s="313">
        <f>E61-травень!E61</f>
        <v>2.299999999999999</v>
      </c>
      <c r="N61" s="337">
        <f>F61-травень!F61</f>
        <v>0</v>
      </c>
      <c r="O61" s="316">
        <f t="shared" si="11"/>
        <v>-2.299999999999999</v>
      </c>
      <c r="P61" s="314">
        <f t="shared" si="8"/>
        <v>0</v>
      </c>
      <c r="Q61" s="307"/>
      <c r="R61" s="308"/>
    </row>
    <row r="62" spans="1:18" s="6" customFormat="1" ht="30.75">
      <c r="A62" s="8"/>
      <c r="B62" s="12" t="s">
        <v>58</v>
      </c>
      <c r="C62" s="48">
        <v>31020000</v>
      </c>
      <c r="D62" s="293">
        <v>0.6</v>
      </c>
      <c r="E62" s="293">
        <v>0</v>
      </c>
      <c r="F62" s="294">
        <v>0.4</v>
      </c>
      <c r="G62" s="312">
        <f t="shared" si="9"/>
        <v>0.4</v>
      </c>
      <c r="H62" s="313"/>
      <c r="I62" s="314">
        <f t="shared" si="10"/>
        <v>-0.19999999999999996</v>
      </c>
      <c r="J62" s="314"/>
      <c r="K62" s="314">
        <f>F62-0.02</f>
        <v>0.38</v>
      </c>
      <c r="L62" s="314"/>
      <c r="M62" s="313">
        <f>E62-травень!E62</f>
        <v>0</v>
      </c>
      <c r="N62" s="337">
        <f>F62-травень!F62</f>
        <v>0</v>
      </c>
      <c r="O62" s="316">
        <f t="shared" si="11"/>
        <v>0</v>
      </c>
      <c r="P62" s="314"/>
      <c r="Q62" s="307"/>
      <c r="R62" s="308"/>
    </row>
    <row r="63" spans="1:20" s="6" customFormat="1" ht="18">
      <c r="A63" s="9"/>
      <c r="B63" s="14" t="s">
        <v>28</v>
      </c>
      <c r="C63" s="347"/>
      <c r="D63" s="288">
        <f>D8+D37+D61+D62</f>
        <v>883900.6</v>
      </c>
      <c r="E63" s="288">
        <f>E8+E37+E61+E62</f>
        <v>441746.00999999995</v>
      </c>
      <c r="F63" s="289">
        <f>F8+F37+F61+F62</f>
        <v>494786</v>
      </c>
      <c r="G63" s="288">
        <f>F63-E63</f>
        <v>53039.99000000005</v>
      </c>
      <c r="H63" s="290">
        <f>F63/E63*100</f>
        <v>112.00689735714874</v>
      </c>
      <c r="I63" s="291">
        <f>F63-D63</f>
        <v>-389114.6</v>
      </c>
      <c r="J63" s="291">
        <f>F63/D63*100</f>
        <v>55.97756127781789</v>
      </c>
      <c r="K63" s="291">
        <f>F63-320998.67</f>
        <v>173787.33000000002</v>
      </c>
      <c r="L63" s="291">
        <f>F63/320998.67*100</f>
        <v>154.13957945682455</v>
      </c>
      <c r="M63" s="288">
        <f>M8+M37+M61+M62</f>
        <v>71492.59999999999</v>
      </c>
      <c r="N63" s="288">
        <f>N8+N37+N61+N62</f>
        <v>96936.71</v>
      </c>
      <c r="O63" s="348">
        <f>N63-M63</f>
        <v>25444.110000000015</v>
      </c>
      <c r="P63" s="291">
        <f>N63/M63*100</f>
        <v>135.58985125733295</v>
      </c>
      <c r="Q63" s="349">
        <f>N63-34768</f>
        <v>62168.71000000001</v>
      </c>
      <c r="R63" s="350">
        <f>N63/34768</f>
        <v>2.78810141509434</v>
      </c>
      <c r="T63" s="147"/>
    </row>
    <row r="64" spans="1:18" s="53" customFormat="1" ht="17.25" hidden="1">
      <c r="A64" s="50"/>
      <c r="B64" s="60"/>
      <c r="C64" s="351"/>
      <c r="D64" s="352"/>
      <c r="E64" s="352"/>
      <c r="F64" s="352"/>
      <c r="G64" s="353"/>
      <c r="H64" s="354"/>
      <c r="I64" s="355"/>
      <c r="J64" s="356"/>
      <c r="K64" s="356"/>
      <c r="L64" s="356"/>
      <c r="M64" s="354"/>
      <c r="N64" s="352"/>
      <c r="O64" s="357"/>
      <c r="P64" s="356"/>
      <c r="Q64" s="356"/>
      <c r="R64" s="358"/>
    </row>
    <row r="65" spans="1:18" s="53" customFormat="1" ht="17.25" hidden="1">
      <c r="A65" s="50"/>
      <c r="B65" s="61"/>
      <c r="C65" s="351"/>
      <c r="D65" s="359"/>
      <c r="E65" s="352"/>
      <c r="F65" s="352"/>
      <c r="G65" s="360"/>
      <c r="H65" s="354"/>
      <c r="I65" s="361"/>
      <c r="J65" s="356"/>
      <c r="K65" s="356"/>
      <c r="L65" s="356"/>
      <c r="M65" s="303"/>
      <c r="N65" s="352"/>
      <c r="O65" s="362"/>
      <c r="P65" s="356"/>
      <c r="Q65" s="356"/>
      <c r="R65" s="358"/>
    </row>
    <row r="66" spans="1:18" s="53" customFormat="1" ht="17.25" hidden="1">
      <c r="A66" s="50"/>
      <c r="B66" s="61"/>
      <c r="C66" s="351"/>
      <c r="D66" s="359"/>
      <c r="E66" s="309"/>
      <c r="F66" s="359"/>
      <c r="G66" s="360"/>
      <c r="H66" s="354"/>
      <c r="I66" s="361"/>
      <c r="J66" s="356"/>
      <c r="K66" s="356"/>
      <c r="L66" s="356"/>
      <c r="M66" s="303"/>
      <c r="N66" s="359"/>
      <c r="O66" s="357"/>
      <c r="P66" s="356"/>
      <c r="Q66" s="356"/>
      <c r="R66" s="358"/>
    </row>
    <row r="67" spans="1:18" ht="15">
      <c r="A67" s="363"/>
      <c r="B67" s="364" t="s">
        <v>138</v>
      </c>
      <c r="C67" s="365"/>
      <c r="D67" s="366"/>
      <c r="E67" s="366"/>
      <c r="F67" s="366"/>
      <c r="G67" s="309"/>
      <c r="H67" s="303"/>
      <c r="I67" s="367"/>
      <c r="J67" s="367"/>
      <c r="K67" s="367"/>
      <c r="L67" s="367"/>
      <c r="M67" s="343"/>
      <c r="N67" s="368"/>
      <c r="O67" s="310"/>
      <c r="P67" s="367"/>
      <c r="Q67" s="367"/>
      <c r="R67" s="369"/>
    </row>
    <row r="68" spans="1:18" ht="25.5" customHeight="1">
      <c r="A68" s="363"/>
      <c r="B68" s="370" t="s">
        <v>112</v>
      </c>
      <c r="C68" s="271">
        <v>12020000</v>
      </c>
      <c r="D68" s="371">
        <v>0</v>
      </c>
      <c r="E68" s="371"/>
      <c r="F68" s="371">
        <v>0.01</v>
      </c>
      <c r="G68" s="312"/>
      <c r="H68" s="313"/>
      <c r="I68" s="316"/>
      <c r="J68" s="316"/>
      <c r="K68" s="316">
        <f>F68-0</f>
        <v>0.01</v>
      </c>
      <c r="L68" s="316"/>
      <c r="M68" s="312"/>
      <c r="N68" s="372">
        <f>F68-травень!F68</f>
        <v>0</v>
      </c>
      <c r="O68" s="316"/>
      <c r="P68" s="316"/>
      <c r="Q68" s="367"/>
      <c r="R68" s="369"/>
    </row>
    <row r="69" spans="1:18" ht="30.75">
      <c r="A69" s="363"/>
      <c r="B69" s="145" t="s">
        <v>63</v>
      </c>
      <c r="C69" s="373">
        <v>18041500</v>
      </c>
      <c r="D69" s="371">
        <v>0</v>
      </c>
      <c r="E69" s="371"/>
      <c r="F69" s="371">
        <v>-2.3</v>
      </c>
      <c r="G69" s="312">
        <f>F69-E69</f>
        <v>-2.3</v>
      </c>
      <c r="H69" s="313"/>
      <c r="I69" s="316">
        <f>F69-D69</f>
        <v>-2.3</v>
      </c>
      <c r="J69" s="316"/>
      <c r="K69" s="316">
        <f>F69-(-31.04)</f>
        <v>28.74</v>
      </c>
      <c r="L69" s="316">
        <f>F69/(-31.04)*100</f>
        <v>7.40979381443299</v>
      </c>
      <c r="M69" s="313"/>
      <c r="N69" s="372">
        <f>F69-травень!F69</f>
        <v>-2.03</v>
      </c>
      <c r="O69" s="316">
        <f>N69-M69</f>
        <v>-2.03</v>
      </c>
      <c r="P69" s="316"/>
      <c r="Q69" s="367"/>
      <c r="R69" s="369"/>
    </row>
    <row r="70" spans="1:18" ht="17.25">
      <c r="A70" s="363"/>
      <c r="B70" s="374" t="s">
        <v>46</v>
      </c>
      <c r="C70" s="375"/>
      <c r="D70" s="376">
        <f>D69</f>
        <v>0</v>
      </c>
      <c r="E70" s="376">
        <f>E69</f>
        <v>0</v>
      </c>
      <c r="F70" s="376">
        <f>SUM(F68:F69)</f>
        <v>-2.29</v>
      </c>
      <c r="G70" s="377">
        <f>F70-E70</f>
        <v>-2.29</v>
      </c>
      <c r="H70" s="378"/>
      <c r="I70" s="379">
        <f>F70-D70</f>
        <v>-2.29</v>
      </c>
      <c r="J70" s="379"/>
      <c r="K70" s="379">
        <f>F70-(-31.04)</f>
        <v>28.75</v>
      </c>
      <c r="L70" s="379">
        <f>F70/(-31.04)*100</f>
        <v>7.377577319587629</v>
      </c>
      <c r="M70" s="377">
        <f>M69</f>
        <v>0</v>
      </c>
      <c r="N70" s="380">
        <f>SUM(N68:N69)</f>
        <v>-2.03</v>
      </c>
      <c r="O70" s="379">
        <f>N70-M70</f>
        <v>-2.03</v>
      </c>
      <c r="P70" s="379"/>
      <c r="Q70" s="381"/>
      <c r="R70" s="382"/>
    </row>
    <row r="71" spans="1:18" ht="46.5" hidden="1">
      <c r="A71" s="363"/>
      <c r="B71" s="145" t="s">
        <v>38</v>
      </c>
      <c r="C71" s="375">
        <v>21110000</v>
      </c>
      <c r="D71" s="371">
        <v>0</v>
      </c>
      <c r="E71" s="371"/>
      <c r="F71" s="371">
        <v>0</v>
      </c>
      <c r="G71" s="312" t="e">
        <f>#N/A</f>
        <v>#N/A</v>
      </c>
      <c r="H71" s="313" t="e">
        <f>F71/E71*100</f>
        <v>#DIV/0!</v>
      </c>
      <c r="I71" s="316" t="e">
        <f>#N/A</f>
        <v>#N/A</v>
      </c>
      <c r="J71" s="316" t="e">
        <f>#N/A</f>
        <v>#N/A</v>
      </c>
      <c r="K71" s="316"/>
      <c r="L71" s="316"/>
      <c r="M71" s="312">
        <v>0</v>
      </c>
      <c r="N71" s="372">
        <f>F71</f>
        <v>0</v>
      </c>
      <c r="O71" s="316" t="e">
        <f>#N/A</f>
        <v>#N/A</v>
      </c>
      <c r="P71" s="316"/>
      <c r="Q71" s="367"/>
      <c r="R71" s="369"/>
    </row>
    <row r="72" spans="1:18" ht="30.75">
      <c r="A72" s="363"/>
      <c r="B72" s="145" t="s">
        <v>30</v>
      </c>
      <c r="C72" s="373">
        <v>31030000</v>
      </c>
      <c r="D72" s="371">
        <v>4200</v>
      </c>
      <c r="E72" s="371">
        <v>1413</v>
      </c>
      <c r="F72" s="371">
        <v>1042.02</v>
      </c>
      <c r="G72" s="312">
        <f aca="true" t="shared" si="13" ref="G72:G82">F72-E72</f>
        <v>-370.98</v>
      </c>
      <c r="H72" s="313"/>
      <c r="I72" s="316">
        <f aca="true" t="shared" si="14" ref="I72:I82">F72-D72</f>
        <v>-3157.98</v>
      </c>
      <c r="J72" s="316">
        <f>F72/D72*100</f>
        <v>24.81</v>
      </c>
      <c r="K72" s="316">
        <f>F72-194</f>
        <v>848.02</v>
      </c>
      <c r="L72" s="316">
        <f>F72/194*100</f>
        <v>537.1237113402062</v>
      </c>
      <c r="M72" s="313">
        <f>E72-травень!E72</f>
        <v>500</v>
      </c>
      <c r="N72" s="337">
        <f>F72-травень!F72</f>
        <v>0.049999999999954525</v>
      </c>
      <c r="O72" s="316">
        <f aca="true" t="shared" si="15" ref="O72:O85">N72-M72</f>
        <v>-499.95000000000005</v>
      </c>
      <c r="P72" s="316">
        <f>N72/M72*100</f>
        <v>0.009999999999990905</v>
      </c>
      <c r="Q72" s="367"/>
      <c r="R72" s="369"/>
    </row>
    <row r="73" spans="1:18" ht="18">
      <c r="A73" s="363"/>
      <c r="B73" s="145" t="s">
        <v>31</v>
      </c>
      <c r="C73" s="373">
        <v>33010000</v>
      </c>
      <c r="D73" s="371">
        <v>7459</v>
      </c>
      <c r="E73" s="371">
        <v>2233.71</v>
      </c>
      <c r="F73" s="371">
        <v>936.04</v>
      </c>
      <c r="G73" s="312">
        <f t="shared" si="13"/>
        <v>-1297.67</v>
      </c>
      <c r="H73" s="313">
        <f>F73/E73*100</f>
        <v>41.90517121739169</v>
      </c>
      <c r="I73" s="316">
        <f t="shared" si="14"/>
        <v>-6522.96</v>
      </c>
      <c r="J73" s="316">
        <f>F73/D73*100</f>
        <v>12.549135272824774</v>
      </c>
      <c r="K73" s="316">
        <f>F73-3257.07</f>
        <v>-2321.03</v>
      </c>
      <c r="L73" s="316">
        <f>F73/3257.07*100</f>
        <v>28.738713015071827</v>
      </c>
      <c r="M73" s="313">
        <f>E73-травень!E73</f>
        <v>282.60000000000014</v>
      </c>
      <c r="N73" s="337">
        <f>F73-травень!F73</f>
        <v>66.80999999999995</v>
      </c>
      <c r="O73" s="316">
        <f t="shared" si="15"/>
        <v>-215.7900000000002</v>
      </c>
      <c r="P73" s="316">
        <f>N73/M73*100</f>
        <v>23.641188959660266</v>
      </c>
      <c r="Q73" s="367"/>
      <c r="R73" s="369"/>
    </row>
    <row r="74" spans="1:18" ht="30.75">
      <c r="A74" s="363"/>
      <c r="B74" s="145" t="s">
        <v>55</v>
      </c>
      <c r="C74" s="373">
        <v>24170000</v>
      </c>
      <c r="D74" s="371">
        <v>6000</v>
      </c>
      <c r="E74" s="371">
        <v>1792.85</v>
      </c>
      <c r="F74" s="371">
        <v>9374.51</v>
      </c>
      <c r="G74" s="312">
        <f t="shared" si="13"/>
        <v>7581.66</v>
      </c>
      <c r="H74" s="313">
        <f>F74/E74*100</f>
        <v>522.8831190562513</v>
      </c>
      <c r="I74" s="316">
        <f t="shared" si="14"/>
        <v>3374.51</v>
      </c>
      <c r="J74" s="316">
        <f>F74/D74*100</f>
        <v>156.24183333333335</v>
      </c>
      <c r="K74" s="316">
        <f>F74-1818.42</f>
        <v>7556.09</v>
      </c>
      <c r="L74" s="316">
        <f>F74/1818.42*100</f>
        <v>515.5305155024691</v>
      </c>
      <c r="M74" s="313">
        <f>E74-травень!E74</f>
        <v>302</v>
      </c>
      <c r="N74" s="337">
        <f>F74-травень!F74</f>
        <v>261.1200000000008</v>
      </c>
      <c r="O74" s="316">
        <f t="shared" si="15"/>
        <v>-40.8799999999992</v>
      </c>
      <c r="P74" s="316">
        <f>N74/M74*100</f>
        <v>86.46357615894065</v>
      </c>
      <c r="Q74" s="367"/>
      <c r="R74" s="369"/>
    </row>
    <row r="75" spans="1:18" ht="18">
      <c r="A75" s="363"/>
      <c r="B75" s="145" t="s">
        <v>113</v>
      </c>
      <c r="C75" s="373">
        <v>24110700</v>
      </c>
      <c r="D75" s="371">
        <v>12</v>
      </c>
      <c r="E75" s="371">
        <v>6</v>
      </c>
      <c r="F75" s="371">
        <v>6</v>
      </c>
      <c r="G75" s="312">
        <f t="shared" si="13"/>
        <v>0</v>
      </c>
      <c r="H75" s="313">
        <f>F75/E75*100</f>
        <v>100</v>
      </c>
      <c r="I75" s="316">
        <f t="shared" si="14"/>
        <v>-6</v>
      </c>
      <c r="J75" s="316">
        <f>F75/D75*100</f>
        <v>50</v>
      </c>
      <c r="K75" s="316">
        <f>F75-0</f>
        <v>6</v>
      </c>
      <c r="L75" s="316"/>
      <c r="M75" s="313">
        <f>E75-травень!E75</f>
        <v>1</v>
      </c>
      <c r="N75" s="337">
        <f>F75-травень!F75</f>
        <v>1</v>
      </c>
      <c r="O75" s="316">
        <f t="shared" si="15"/>
        <v>0</v>
      </c>
      <c r="P75" s="316">
        <f>N75/M75*100</f>
        <v>100</v>
      </c>
      <c r="Q75" s="367"/>
      <c r="R75" s="383"/>
    </row>
    <row r="76" spans="1:18" ht="32.25">
      <c r="A76" s="363"/>
      <c r="B76" s="374" t="s">
        <v>52</v>
      </c>
      <c r="C76" s="384"/>
      <c r="D76" s="376">
        <f>D72+D73+D74+D75</f>
        <v>17671</v>
      </c>
      <c r="E76" s="376">
        <f>E72+E73+E74+E75</f>
        <v>5445.5599999999995</v>
      </c>
      <c r="F76" s="376">
        <f>F72+F73+F74+F75</f>
        <v>11358.57</v>
      </c>
      <c r="G76" s="377">
        <f t="shared" si="13"/>
        <v>5913.01</v>
      </c>
      <c r="H76" s="378">
        <f>F76/E76*100</f>
        <v>208.5840574706734</v>
      </c>
      <c r="I76" s="379">
        <f t="shared" si="14"/>
        <v>-6312.43</v>
      </c>
      <c r="J76" s="379">
        <f>F76/D76*100</f>
        <v>64.27802614453059</v>
      </c>
      <c r="K76" s="379">
        <f>F76-5269.49</f>
        <v>6089.08</v>
      </c>
      <c r="L76" s="379">
        <f>F76/5269.49*100</f>
        <v>215.553497587053</v>
      </c>
      <c r="M76" s="377">
        <f>M72+M73+M74+M75</f>
        <v>1085.6000000000001</v>
      </c>
      <c r="N76" s="385">
        <f>N72+N73+N74+N75</f>
        <v>328.9800000000007</v>
      </c>
      <c r="O76" s="379">
        <f t="shared" si="15"/>
        <v>-756.6199999999994</v>
      </c>
      <c r="P76" s="379">
        <f>N76/M76*100</f>
        <v>30.30397936624914</v>
      </c>
      <c r="Q76" s="381"/>
      <c r="R76" s="386"/>
    </row>
    <row r="77" spans="1:18" ht="46.5">
      <c r="A77" s="363"/>
      <c r="B77" s="12" t="s">
        <v>41</v>
      </c>
      <c r="C77" s="387">
        <v>24062100</v>
      </c>
      <c r="D77" s="371">
        <v>1</v>
      </c>
      <c r="E77" s="371">
        <v>0</v>
      </c>
      <c r="F77" s="371">
        <v>5.19</v>
      </c>
      <c r="G77" s="312">
        <f t="shared" si="13"/>
        <v>5.19</v>
      </c>
      <c r="H77" s="313"/>
      <c r="I77" s="316">
        <f t="shared" si="14"/>
        <v>4.19</v>
      </c>
      <c r="J77" s="316"/>
      <c r="K77" s="316">
        <f>F77-0</f>
        <v>5.19</v>
      </c>
      <c r="L77" s="316"/>
      <c r="M77" s="313">
        <f>E77-травень!E77</f>
        <v>0</v>
      </c>
      <c r="N77" s="337">
        <f>F77-травень!F77</f>
        <v>0.79</v>
      </c>
      <c r="O77" s="316">
        <f t="shared" si="15"/>
        <v>0.79</v>
      </c>
      <c r="P77" s="316"/>
      <c r="Q77" s="367"/>
      <c r="R77" s="369"/>
    </row>
    <row r="78" spans="1:18" ht="18" hidden="1">
      <c r="A78" s="363"/>
      <c r="B78" s="145" t="s">
        <v>53</v>
      </c>
      <c r="C78" s="373">
        <v>24061600</v>
      </c>
      <c r="D78" s="371">
        <v>0</v>
      </c>
      <c r="E78" s="371">
        <v>0</v>
      </c>
      <c r="F78" s="371">
        <v>0</v>
      </c>
      <c r="G78" s="312">
        <f t="shared" si="13"/>
        <v>0</v>
      </c>
      <c r="H78" s="313"/>
      <c r="I78" s="316">
        <f t="shared" si="14"/>
        <v>0</v>
      </c>
      <c r="J78" s="388"/>
      <c r="K78" s="316">
        <f>F78-0</f>
        <v>0</v>
      </c>
      <c r="L78" s="316">
        <f>F78/19.48*100</f>
        <v>0</v>
      </c>
      <c r="M78" s="313">
        <f>E78-травень!E78</f>
        <v>0</v>
      </c>
      <c r="N78" s="337">
        <f>F78-травень!F78</f>
        <v>0</v>
      </c>
      <c r="O78" s="316">
        <f t="shared" si="15"/>
        <v>0</v>
      </c>
      <c r="P78" s="388"/>
      <c r="Q78" s="389"/>
      <c r="R78" s="390"/>
    </row>
    <row r="79" spans="1:18" ht="18">
      <c r="A79" s="363"/>
      <c r="B79" s="145" t="s">
        <v>47</v>
      </c>
      <c r="C79" s="373">
        <v>19010000</v>
      </c>
      <c r="D79" s="371">
        <v>9500</v>
      </c>
      <c r="E79" s="371">
        <v>5117.3</v>
      </c>
      <c r="F79" s="371">
        <v>4890.44</v>
      </c>
      <c r="G79" s="312">
        <f t="shared" si="13"/>
        <v>-226.86000000000058</v>
      </c>
      <c r="H79" s="313">
        <f>F79/E79*100</f>
        <v>95.5668028061673</v>
      </c>
      <c r="I79" s="316">
        <f t="shared" si="14"/>
        <v>-4609.56</v>
      </c>
      <c r="J79" s="316">
        <f>F79/D79*100</f>
        <v>51.47831578947368</v>
      </c>
      <c r="K79" s="316">
        <f>F79-0</f>
        <v>4890.44</v>
      </c>
      <c r="L79" s="316"/>
      <c r="M79" s="313">
        <f>E79-травень!E79</f>
        <v>0.3000000000001819</v>
      </c>
      <c r="N79" s="337">
        <f>F79-травень!F79</f>
        <v>2.6699999999991633</v>
      </c>
      <c r="O79" s="316">
        <f>N79-M79</f>
        <v>2.3699999999989814</v>
      </c>
      <c r="P79" s="388">
        <f>N79/M79*100</f>
        <v>889.9999999991815</v>
      </c>
      <c r="Q79" s="389"/>
      <c r="R79" s="390"/>
    </row>
    <row r="80" spans="1:18" ht="30.75">
      <c r="A80" s="363"/>
      <c r="B80" s="145" t="s">
        <v>51</v>
      </c>
      <c r="C80" s="373">
        <v>19050000</v>
      </c>
      <c r="D80" s="371">
        <v>0</v>
      </c>
      <c r="E80" s="371"/>
      <c r="F80" s="371">
        <v>0.81</v>
      </c>
      <c r="G80" s="312">
        <f t="shared" si="13"/>
        <v>0.81</v>
      </c>
      <c r="H80" s="313"/>
      <c r="I80" s="316">
        <f t="shared" si="14"/>
        <v>0.81</v>
      </c>
      <c r="J80" s="316"/>
      <c r="K80" s="316">
        <f>F80-1.06</f>
        <v>-0.25</v>
      </c>
      <c r="L80" s="316">
        <f>F80/1.06*100</f>
        <v>76.41509433962264</v>
      </c>
      <c r="M80" s="313">
        <f>E80-травень!E80</f>
        <v>0</v>
      </c>
      <c r="N80" s="337">
        <f>F80-травень!F80</f>
        <v>0.1200000000000001</v>
      </c>
      <c r="O80" s="316">
        <f t="shared" si="15"/>
        <v>0.1200000000000001</v>
      </c>
      <c r="P80" s="316"/>
      <c r="Q80" s="367"/>
      <c r="R80" s="369"/>
    </row>
    <row r="81" spans="1:18" ht="30">
      <c r="A81" s="363"/>
      <c r="B81" s="374" t="s">
        <v>48</v>
      </c>
      <c r="C81" s="373"/>
      <c r="D81" s="376">
        <f>D77+D80+D78+D79</f>
        <v>9501</v>
      </c>
      <c r="E81" s="376">
        <f>E77+E80+E78+E79</f>
        <v>5117.3</v>
      </c>
      <c r="F81" s="376">
        <f>F77+F80+F78+F79</f>
        <v>4896.44</v>
      </c>
      <c r="G81" s="376">
        <f>G77+G80+G78+G79</f>
        <v>-220.86000000000058</v>
      </c>
      <c r="H81" s="378">
        <f>F81/E81*100</f>
        <v>95.68405213686904</v>
      </c>
      <c r="I81" s="379">
        <f t="shared" si="14"/>
        <v>-4604.56</v>
      </c>
      <c r="J81" s="379">
        <f>F81/D81*100</f>
        <v>51.53604883696452</v>
      </c>
      <c r="K81" s="379">
        <f>F81-1.06</f>
        <v>4895.379999999999</v>
      </c>
      <c r="L81" s="379">
        <f>F81/1.06*100</f>
        <v>461928.30188679235</v>
      </c>
      <c r="M81" s="377">
        <f>M77+M80+M78+M79</f>
        <v>0.3000000000001819</v>
      </c>
      <c r="N81" s="385">
        <f>N77+N80+N78+N79</f>
        <v>3.5799999999991634</v>
      </c>
      <c r="O81" s="377">
        <f>O77+O80+O78+O79</f>
        <v>3.2799999999989815</v>
      </c>
      <c r="P81" s="379">
        <f>N81/M81*100</f>
        <v>1193.333333332331</v>
      </c>
      <c r="Q81" s="381"/>
      <c r="R81" s="358"/>
    </row>
    <row r="82" spans="1:18" ht="30.75">
      <c r="A82" s="363"/>
      <c r="B82" s="12" t="s">
        <v>42</v>
      </c>
      <c r="C82" s="48">
        <v>24110900</v>
      </c>
      <c r="D82" s="371">
        <v>43</v>
      </c>
      <c r="E82" s="371">
        <v>19.7</v>
      </c>
      <c r="F82" s="371">
        <v>18.25</v>
      </c>
      <c r="G82" s="312">
        <f t="shared" si="13"/>
        <v>-1.4499999999999993</v>
      </c>
      <c r="H82" s="313">
        <f>F82/E82*100</f>
        <v>92.63959390862945</v>
      </c>
      <c r="I82" s="316">
        <f t="shared" si="14"/>
        <v>-24.75</v>
      </c>
      <c r="J82" s="316">
        <f>F82/D82*100</f>
        <v>42.44186046511628</v>
      </c>
      <c r="K82" s="316">
        <f>F82-19.94</f>
        <v>-1.6900000000000013</v>
      </c>
      <c r="L82" s="316">
        <f>F82/19.94*100</f>
        <v>91.52457372116348</v>
      </c>
      <c r="M82" s="313">
        <f>E82-травень!E82</f>
        <v>5.899999999999999</v>
      </c>
      <c r="N82" s="337">
        <f>F82-травень!F82</f>
        <v>9.06</v>
      </c>
      <c r="O82" s="316">
        <f t="shared" si="15"/>
        <v>3.160000000000002</v>
      </c>
      <c r="P82" s="316">
        <f>N82/M82</f>
        <v>1.5355932203389835</v>
      </c>
      <c r="Q82" s="367"/>
      <c r="R82" s="369"/>
    </row>
    <row r="83" spans="1:18" ht="18" hidden="1">
      <c r="A83" s="363"/>
      <c r="B83" s="137"/>
      <c r="C83" s="48"/>
      <c r="D83" s="371"/>
      <c r="E83" s="371"/>
      <c r="F83" s="371"/>
      <c r="G83" s="312"/>
      <c r="H83" s="313"/>
      <c r="I83" s="316"/>
      <c r="J83" s="316"/>
      <c r="K83" s="316">
        <f>F83-0</f>
        <v>0</v>
      </c>
      <c r="L83" s="316"/>
      <c r="M83" s="313">
        <f>E83-лютий!E78</f>
        <v>0</v>
      </c>
      <c r="N83" s="337">
        <f>F83-лютий!F78</f>
        <v>0</v>
      </c>
      <c r="O83" s="316">
        <f t="shared" si="15"/>
        <v>0</v>
      </c>
      <c r="P83" s="316"/>
      <c r="Q83" s="367"/>
      <c r="R83" s="369"/>
    </row>
    <row r="84" spans="1:18" ht="23.25" customHeight="1">
      <c r="A84" s="363"/>
      <c r="B84" s="14" t="s">
        <v>32</v>
      </c>
      <c r="C84" s="391"/>
      <c r="D84" s="392">
        <f>D70+D82+D76+D81</f>
        <v>27215</v>
      </c>
      <c r="E84" s="392">
        <f>E70+E82+E76+E81</f>
        <v>10582.56</v>
      </c>
      <c r="F84" s="376">
        <f>F70+F82+F76+F81+F83</f>
        <v>16270.969999999998</v>
      </c>
      <c r="G84" s="393">
        <f>F84-E84</f>
        <v>5688.409999999998</v>
      </c>
      <c r="H84" s="394">
        <f>F84/E84*100</f>
        <v>153.75268366066433</v>
      </c>
      <c r="I84" s="395">
        <f>F84-D84</f>
        <v>-10944.030000000002</v>
      </c>
      <c r="J84" s="395">
        <f>F84/D84*100</f>
        <v>59.78677200073488</v>
      </c>
      <c r="K84" s="395">
        <f>F84-5259.67</f>
        <v>11011.299999999997</v>
      </c>
      <c r="L84" s="395">
        <f>F84/5259.67*100</f>
        <v>309.3534385237096</v>
      </c>
      <c r="M84" s="392">
        <f>M70+M82+M76+M81</f>
        <v>1091.8000000000004</v>
      </c>
      <c r="N84" s="392">
        <f>N70+N82+N76+N81+N83</f>
        <v>339.58999999999986</v>
      </c>
      <c r="O84" s="395">
        <f t="shared" si="15"/>
        <v>-752.2100000000005</v>
      </c>
      <c r="P84" s="395">
        <f>N84/M84*100</f>
        <v>31.103681993038997</v>
      </c>
      <c r="Q84" s="349">
        <f>N84-8104.96</f>
        <v>-7765.37</v>
      </c>
      <c r="R84" s="396">
        <f>N84/8104.96</f>
        <v>0.04189903466519265</v>
      </c>
    </row>
    <row r="85" spans="1:18" ht="17.25">
      <c r="A85" s="363"/>
      <c r="B85" s="397" t="s">
        <v>33</v>
      </c>
      <c r="C85" s="391"/>
      <c r="D85" s="392">
        <f>D63+D84</f>
        <v>911115.6</v>
      </c>
      <c r="E85" s="392">
        <f>E63+E84</f>
        <v>452328.56999999995</v>
      </c>
      <c r="F85" s="376">
        <f>F63+F84</f>
        <v>511056.97</v>
      </c>
      <c r="G85" s="393">
        <f>F85-E85</f>
        <v>58728.40000000002</v>
      </c>
      <c r="H85" s="394">
        <f>F85/E85*100</f>
        <v>112.98357077024784</v>
      </c>
      <c r="I85" s="395">
        <f>F85-D85</f>
        <v>-400058.63</v>
      </c>
      <c r="J85" s="395">
        <f>F85/D85*100</f>
        <v>56.09134230606961</v>
      </c>
      <c r="K85" s="395">
        <f>F85-320998.67-5259.67</f>
        <v>184798.62999999998</v>
      </c>
      <c r="L85" s="395">
        <f>F85/(265734.15+4325.48)*100</f>
        <v>189.23856557161096</v>
      </c>
      <c r="M85" s="393">
        <f>M63+M84</f>
        <v>72584.4</v>
      </c>
      <c r="N85" s="393">
        <f>N63+N84</f>
        <v>97276.3</v>
      </c>
      <c r="O85" s="395">
        <f t="shared" si="15"/>
        <v>24691.90000000001</v>
      </c>
      <c r="P85" s="395">
        <f>N85/M85*100</f>
        <v>134.0181912366845</v>
      </c>
      <c r="Q85" s="349">
        <f>N85-42872.96</f>
        <v>54403.340000000004</v>
      </c>
      <c r="R85" s="396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14"/>
      <c r="H88" s="414"/>
      <c r="I88" s="414"/>
      <c r="J88" s="414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06"/>
      <c r="O89" s="406"/>
    </row>
    <row r="90" spans="3:15" ht="15">
      <c r="C90" s="87">
        <v>42550</v>
      </c>
      <c r="D90" s="31">
        <v>11029.3</v>
      </c>
      <c r="F90" s="124" t="s">
        <v>59</v>
      </c>
      <c r="G90" s="400"/>
      <c r="H90" s="400"/>
      <c r="I90" s="131"/>
      <c r="J90" s="403"/>
      <c r="K90" s="403"/>
      <c r="L90" s="403"/>
      <c r="M90" s="403"/>
      <c r="N90" s="406"/>
      <c r="O90" s="406"/>
    </row>
    <row r="91" spans="3:15" ht="15.75" customHeight="1">
      <c r="C91" s="87">
        <v>42545</v>
      </c>
      <c r="D91" s="31">
        <v>6499.7</v>
      </c>
      <c r="F91" s="73"/>
      <c r="G91" s="400"/>
      <c r="H91" s="400"/>
      <c r="I91" s="131"/>
      <c r="J91" s="407"/>
      <c r="K91" s="407"/>
      <c r="L91" s="407"/>
      <c r="M91" s="407"/>
      <c r="N91" s="406"/>
      <c r="O91" s="406"/>
    </row>
    <row r="92" spans="3:13" ht="15.75" customHeight="1">
      <c r="C92" s="87"/>
      <c r="F92" s="73"/>
      <c r="G92" s="402"/>
      <c r="H92" s="402"/>
      <c r="I92" s="139"/>
      <c r="J92" s="403"/>
      <c r="K92" s="403"/>
      <c r="L92" s="403"/>
      <c r="M92" s="403"/>
    </row>
    <row r="93" spans="2:13" ht="18.75" customHeight="1">
      <c r="B93" s="404" t="s">
        <v>57</v>
      </c>
      <c r="C93" s="405"/>
      <c r="D93" s="148">
        <v>9447.89588</v>
      </c>
      <c r="E93" s="74"/>
      <c r="F93" s="140" t="s">
        <v>137</v>
      </c>
      <c r="G93" s="400"/>
      <c r="H93" s="400"/>
      <c r="I93" s="141"/>
      <c r="J93" s="403"/>
      <c r="K93" s="403"/>
      <c r="L93" s="403"/>
      <c r="M93" s="403"/>
    </row>
    <row r="94" spans="6:12" ht="9.75" customHeight="1">
      <c r="F94" s="73"/>
      <c r="G94" s="400"/>
      <c r="H94" s="400"/>
      <c r="I94" s="73"/>
      <c r="J94" s="74"/>
      <c r="K94" s="74"/>
      <c r="L94" s="74"/>
    </row>
    <row r="95" spans="2:12" ht="22.5" customHeight="1">
      <c r="B95" s="398" t="s">
        <v>60</v>
      </c>
      <c r="C95" s="399"/>
      <c r="D95" s="86">
        <v>0</v>
      </c>
      <c r="E95" s="56" t="s">
        <v>24</v>
      </c>
      <c r="F95" s="73"/>
      <c r="G95" s="400"/>
      <c r="H95" s="40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01"/>
      <c r="O97" s="401"/>
    </row>
    <row r="98" spans="14:15" ht="15">
      <c r="N98" s="400"/>
      <c r="O98" s="400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7" sqref="A27:IV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21" t="s">
        <v>168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162</v>
      </c>
      <c r="N3" s="432" t="s">
        <v>163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158</v>
      </c>
      <c r="F4" s="438" t="s">
        <v>34</v>
      </c>
      <c r="G4" s="408" t="s">
        <v>159</v>
      </c>
      <c r="H4" s="417" t="s">
        <v>160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169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8.7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161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14"/>
      <c r="H88" s="414"/>
      <c r="I88" s="414"/>
      <c r="J88" s="414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06"/>
      <c r="O89" s="406"/>
    </row>
    <row r="90" spans="3:15" ht="15">
      <c r="C90" s="87">
        <v>42520</v>
      </c>
      <c r="D90" s="31">
        <v>8891</v>
      </c>
      <c r="F90" s="124" t="s">
        <v>59</v>
      </c>
      <c r="G90" s="400"/>
      <c r="H90" s="400"/>
      <c r="I90" s="131"/>
      <c r="J90" s="403"/>
      <c r="K90" s="403"/>
      <c r="L90" s="403"/>
      <c r="M90" s="403"/>
      <c r="N90" s="406"/>
      <c r="O90" s="406"/>
    </row>
    <row r="91" spans="3:15" ht="15.75" customHeight="1">
      <c r="C91" s="87">
        <v>42517</v>
      </c>
      <c r="D91" s="31">
        <v>7356.3</v>
      </c>
      <c r="F91" s="73"/>
      <c r="G91" s="400"/>
      <c r="H91" s="400"/>
      <c r="I91" s="131"/>
      <c r="J91" s="407"/>
      <c r="K91" s="407"/>
      <c r="L91" s="407"/>
      <c r="M91" s="407"/>
      <c r="N91" s="406"/>
      <c r="O91" s="406"/>
    </row>
    <row r="92" spans="3:13" ht="15.75" customHeight="1">
      <c r="C92" s="87"/>
      <c r="F92" s="73"/>
      <c r="G92" s="402"/>
      <c r="H92" s="402"/>
      <c r="I92" s="139"/>
      <c r="J92" s="403"/>
      <c r="K92" s="403"/>
      <c r="L92" s="403"/>
      <c r="M92" s="403"/>
    </row>
    <row r="93" spans="2:13" ht="18.75" customHeight="1">
      <c r="B93" s="404" t="s">
        <v>57</v>
      </c>
      <c r="C93" s="405"/>
      <c r="D93" s="148">
        <v>2811.04042</v>
      </c>
      <c r="E93" s="74"/>
      <c r="F93" s="140" t="s">
        <v>137</v>
      </c>
      <c r="G93" s="400"/>
      <c r="H93" s="400"/>
      <c r="I93" s="141"/>
      <c r="J93" s="403"/>
      <c r="K93" s="403"/>
      <c r="L93" s="403"/>
      <c r="M93" s="403"/>
    </row>
    <row r="94" spans="6:12" ht="9.75" customHeight="1">
      <c r="F94" s="73"/>
      <c r="G94" s="400"/>
      <c r="H94" s="400"/>
      <c r="I94" s="73"/>
      <c r="J94" s="74"/>
      <c r="K94" s="74"/>
      <c r="L94" s="74"/>
    </row>
    <row r="95" spans="2:12" ht="22.5" customHeight="1">
      <c r="B95" s="398" t="s">
        <v>60</v>
      </c>
      <c r="C95" s="399"/>
      <c r="D95" s="86">
        <v>0</v>
      </c>
      <c r="E95" s="56" t="s">
        <v>24</v>
      </c>
      <c r="F95" s="73"/>
      <c r="G95" s="400"/>
      <c r="H95" s="40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01"/>
      <c r="O97" s="401"/>
    </row>
    <row r="98" spans="14:15" ht="15">
      <c r="N98" s="400"/>
      <c r="O98" s="40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21" t="s">
        <v>156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153</v>
      </c>
      <c r="N3" s="432" t="s">
        <v>154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150</v>
      </c>
      <c r="F4" s="438" t="s">
        <v>34</v>
      </c>
      <c r="G4" s="408" t="s">
        <v>151</v>
      </c>
      <c r="H4" s="417" t="s">
        <v>152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157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8.7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155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14"/>
      <c r="H84" s="414"/>
      <c r="I84" s="414"/>
      <c r="J84" s="414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06"/>
      <c r="O85" s="406"/>
    </row>
    <row r="86" spans="3:15" ht="15">
      <c r="C86" s="87">
        <v>42488</v>
      </c>
      <c r="D86" s="31">
        <v>11419.7</v>
      </c>
      <c r="F86" s="124" t="s">
        <v>59</v>
      </c>
      <c r="G86" s="400"/>
      <c r="H86" s="400"/>
      <c r="I86" s="131"/>
      <c r="J86" s="403"/>
      <c r="K86" s="403"/>
      <c r="L86" s="403"/>
      <c r="M86" s="403"/>
      <c r="N86" s="406"/>
      <c r="O86" s="406"/>
    </row>
    <row r="87" spans="3:15" ht="15.75" customHeight="1">
      <c r="C87" s="87">
        <v>42487</v>
      </c>
      <c r="D87" s="31">
        <v>7800.7</v>
      </c>
      <c r="F87" s="73"/>
      <c r="G87" s="400"/>
      <c r="H87" s="400"/>
      <c r="I87" s="131"/>
      <c r="J87" s="407"/>
      <c r="K87" s="407"/>
      <c r="L87" s="407"/>
      <c r="M87" s="407"/>
      <c r="N87" s="406"/>
      <c r="O87" s="406"/>
    </row>
    <row r="88" spans="3:13" ht="15.75" customHeight="1">
      <c r="C88" s="87"/>
      <c r="F88" s="73"/>
      <c r="G88" s="402"/>
      <c r="H88" s="402"/>
      <c r="I88" s="139"/>
      <c r="J88" s="403"/>
      <c r="K88" s="403"/>
      <c r="L88" s="403"/>
      <c r="M88" s="403"/>
    </row>
    <row r="89" spans="2:13" ht="18.75" customHeight="1">
      <c r="B89" s="404" t="s">
        <v>57</v>
      </c>
      <c r="C89" s="405"/>
      <c r="D89" s="148">
        <v>9087.9705</v>
      </c>
      <c r="E89" s="74"/>
      <c r="F89" s="140" t="s">
        <v>137</v>
      </c>
      <c r="G89" s="400"/>
      <c r="H89" s="400"/>
      <c r="I89" s="141"/>
      <c r="J89" s="403"/>
      <c r="K89" s="403"/>
      <c r="L89" s="403"/>
      <c r="M89" s="403"/>
    </row>
    <row r="90" spans="6:12" ht="9.75" customHeight="1">
      <c r="F90" s="73"/>
      <c r="G90" s="400"/>
      <c r="H90" s="400"/>
      <c r="I90" s="73"/>
      <c r="J90" s="74"/>
      <c r="K90" s="74"/>
      <c r="L90" s="74"/>
    </row>
    <row r="91" spans="2:12" ht="22.5" customHeight="1" hidden="1">
      <c r="B91" s="398" t="s">
        <v>60</v>
      </c>
      <c r="C91" s="399"/>
      <c r="D91" s="86">
        <v>0</v>
      </c>
      <c r="E91" s="56" t="s">
        <v>24</v>
      </c>
      <c r="F91" s="73"/>
      <c r="G91" s="400"/>
      <c r="H91" s="40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00"/>
      <c r="O92" s="400"/>
    </row>
    <row r="93" spans="4:15" ht="15">
      <c r="D93" s="83"/>
      <c r="I93" s="31"/>
      <c r="N93" s="401"/>
      <c r="O93" s="401"/>
    </row>
    <row r="94" spans="14:15" ht="15">
      <c r="N94" s="400"/>
      <c r="O94" s="40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21" t="s">
        <v>148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31" t="s">
        <v>147</v>
      </c>
      <c r="N3" s="432" t="s">
        <v>143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146</v>
      </c>
      <c r="F4" s="438" t="s">
        <v>34</v>
      </c>
      <c r="G4" s="408" t="s">
        <v>141</v>
      </c>
      <c r="H4" s="417" t="s">
        <v>142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149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8.7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144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14"/>
      <c r="H83" s="414"/>
      <c r="I83" s="414"/>
      <c r="J83" s="41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06"/>
      <c r="O84" s="406"/>
    </row>
    <row r="85" spans="3:15" ht="15">
      <c r="C85" s="87">
        <v>42459</v>
      </c>
      <c r="D85" s="31">
        <v>7576.3</v>
      </c>
      <c r="F85" s="124" t="s">
        <v>59</v>
      </c>
      <c r="G85" s="400"/>
      <c r="H85" s="400"/>
      <c r="I85" s="131"/>
      <c r="J85" s="403"/>
      <c r="K85" s="403"/>
      <c r="L85" s="403"/>
      <c r="M85" s="403"/>
      <c r="N85" s="406"/>
      <c r="O85" s="406"/>
    </row>
    <row r="86" spans="3:15" ht="15.75" customHeight="1">
      <c r="C86" s="87">
        <v>42458</v>
      </c>
      <c r="D86" s="31">
        <v>9190.1</v>
      </c>
      <c r="F86" s="73"/>
      <c r="G86" s="400"/>
      <c r="H86" s="400"/>
      <c r="I86" s="131"/>
      <c r="J86" s="407"/>
      <c r="K86" s="407"/>
      <c r="L86" s="407"/>
      <c r="M86" s="407"/>
      <c r="N86" s="406"/>
      <c r="O86" s="406"/>
    </row>
    <row r="87" spans="3:13" ht="15.75" customHeight="1">
      <c r="C87" s="87"/>
      <c r="F87" s="73"/>
      <c r="G87" s="402"/>
      <c r="H87" s="402"/>
      <c r="I87" s="139"/>
      <c r="J87" s="403"/>
      <c r="K87" s="403"/>
      <c r="L87" s="403"/>
      <c r="M87" s="403"/>
    </row>
    <row r="88" spans="2:13" ht="18.75" customHeight="1">
      <c r="B88" s="404" t="s">
        <v>57</v>
      </c>
      <c r="C88" s="405"/>
      <c r="D88" s="148">
        <f>4343.7</f>
        <v>4343.7</v>
      </c>
      <c r="E88" s="74"/>
      <c r="F88" s="140" t="s">
        <v>137</v>
      </c>
      <c r="G88" s="400"/>
      <c r="H88" s="400"/>
      <c r="I88" s="141"/>
      <c r="J88" s="403"/>
      <c r="K88" s="403"/>
      <c r="L88" s="403"/>
      <c r="M88" s="403"/>
    </row>
    <row r="89" spans="6:12" ht="9.75" customHeight="1">
      <c r="F89" s="73"/>
      <c r="G89" s="400"/>
      <c r="H89" s="400"/>
      <c r="I89" s="73"/>
      <c r="J89" s="74"/>
      <c r="K89" s="74"/>
      <c r="L89" s="74"/>
    </row>
    <row r="90" spans="2:12" ht="22.5" customHeight="1" hidden="1">
      <c r="B90" s="398" t="s">
        <v>60</v>
      </c>
      <c r="C90" s="399"/>
      <c r="D90" s="86">
        <v>0</v>
      </c>
      <c r="E90" s="56" t="s">
        <v>24</v>
      </c>
      <c r="F90" s="73"/>
      <c r="G90" s="400"/>
      <c r="H90" s="40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00"/>
      <c r="O91" s="400"/>
    </row>
    <row r="92" spans="4:15" ht="15">
      <c r="D92" s="83"/>
      <c r="I92" s="31"/>
      <c r="N92" s="401"/>
      <c r="O92" s="401"/>
    </row>
    <row r="93" spans="14:15" ht="15">
      <c r="N93" s="400"/>
      <c r="O93" s="40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21" t="s">
        <v>139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/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41" t="s">
        <v>128</v>
      </c>
      <c r="N3" s="432" t="s">
        <v>119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127</v>
      </c>
      <c r="F4" s="438" t="s">
        <v>34</v>
      </c>
      <c r="G4" s="408" t="s">
        <v>116</v>
      </c>
      <c r="H4" s="417" t="s">
        <v>117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19" t="s">
        <v>140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92.2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118</v>
      </c>
      <c r="L5" s="413"/>
      <c r="M5" s="418"/>
      <c r="N5" s="420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14"/>
      <c r="H83" s="414"/>
      <c r="I83" s="414"/>
      <c r="J83" s="41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06"/>
      <c r="O84" s="406"/>
    </row>
    <row r="85" spans="3:15" ht="15">
      <c r="C85" s="87">
        <v>42426</v>
      </c>
      <c r="D85" s="31">
        <v>6256.2</v>
      </c>
      <c r="F85" s="124" t="s">
        <v>59</v>
      </c>
      <c r="G85" s="400"/>
      <c r="H85" s="400"/>
      <c r="I85" s="131"/>
      <c r="J85" s="403"/>
      <c r="K85" s="403"/>
      <c r="L85" s="403"/>
      <c r="M85" s="403"/>
      <c r="N85" s="406"/>
      <c r="O85" s="406"/>
    </row>
    <row r="86" spans="3:15" ht="15.75" customHeight="1">
      <c r="C86" s="87">
        <v>42425</v>
      </c>
      <c r="D86" s="31">
        <v>3536.9</v>
      </c>
      <c r="F86" s="73"/>
      <c r="G86" s="400"/>
      <c r="H86" s="400"/>
      <c r="I86" s="131"/>
      <c r="J86" s="407"/>
      <c r="K86" s="407"/>
      <c r="L86" s="407"/>
      <c r="M86" s="407"/>
      <c r="N86" s="406"/>
      <c r="O86" s="406"/>
    </row>
    <row r="87" spans="3:13" ht="15.75" customHeight="1">
      <c r="C87" s="87"/>
      <c r="F87" s="73"/>
      <c r="G87" s="402"/>
      <c r="H87" s="402"/>
      <c r="I87" s="139"/>
      <c r="J87" s="403"/>
      <c r="K87" s="403"/>
      <c r="L87" s="403"/>
      <c r="M87" s="403"/>
    </row>
    <row r="88" spans="2:13" ht="18.75" customHeight="1">
      <c r="B88" s="404" t="s">
        <v>57</v>
      </c>
      <c r="C88" s="405"/>
      <c r="D88" s="148">
        <v>505.3</v>
      </c>
      <c r="E88" s="74"/>
      <c r="F88" s="140" t="s">
        <v>137</v>
      </c>
      <c r="G88" s="400"/>
      <c r="H88" s="400"/>
      <c r="I88" s="141"/>
      <c r="J88" s="403"/>
      <c r="K88" s="403"/>
      <c r="L88" s="403"/>
      <c r="M88" s="403"/>
    </row>
    <row r="89" spans="6:12" ht="9.75" customHeight="1">
      <c r="F89" s="73"/>
      <c r="G89" s="400"/>
      <c r="H89" s="400"/>
      <c r="I89" s="73"/>
      <c r="J89" s="74"/>
      <c r="K89" s="74"/>
      <c r="L89" s="74"/>
    </row>
    <row r="90" spans="2:12" ht="22.5" customHeight="1" hidden="1">
      <c r="B90" s="398" t="s">
        <v>60</v>
      </c>
      <c r="C90" s="399"/>
      <c r="D90" s="86">
        <v>0</v>
      </c>
      <c r="E90" s="56" t="s">
        <v>24</v>
      </c>
      <c r="F90" s="73"/>
      <c r="G90" s="400"/>
      <c r="H90" s="40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00"/>
      <c r="O91" s="400"/>
    </row>
    <row r="92" spans="4:15" ht="15">
      <c r="D92" s="83"/>
      <c r="I92" s="31"/>
      <c r="N92" s="401"/>
      <c r="O92" s="401"/>
    </row>
    <row r="93" spans="14:15" ht="15">
      <c r="N93" s="400"/>
      <c r="O93" s="40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21" t="s">
        <v>114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 t="s">
        <v>135</v>
      </c>
      <c r="C3" s="426" t="s">
        <v>0</v>
      </c>
      <c r="D3" s="427" t="s">
        <v>121</v>
      </c>
      <c r="E3" s="34"/>
      <c r="F3" s="428" t="s">
        <v>26</v>
      </c>
      <c r="G3" s="429"/>
      <c r="H3" s="429"/>
      <c r="I3" s="429"/>
      <c r="J3" s="430"/>
      <c r="K3" s="89"/>
      <c r="L3" s="89"/>
      <c r="M3" s="441" t="s">
        <v>132</v>
      </c>
      <c r="N3" s="432" t="s">
        <v>66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129</v>
      </c>
      <c r="F4" s="438" t="s">
        <v>34</v>
      </c>
      <c r="G4" s="408" t="s">
        <v>130</v>
      </c>
      <c r="H4" s="417" t="s">
        <v>131</v>
      </c>
      <c r="I4" s="408" t="s">
        <v>122</v>
      </c>
      <c r="J4" s="417" t="s">
        <v>123</v>
      </c>
      <c r="K4" s="91" t="s">
        <v>65</v>
      </c>
      <c r="L4" s="96" t="s">
        <v>64</v>
      </c>
      <c r="M4" s="417"/>
      <c r="N4" s="442" t="s">
        <v>133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92.25" customHeight="1">
      <c r="A5" s="424"/>
      <c r="B5" s="425"/>
      <c r="C5" s="426"/>
      <c r="D5" s="427"/>
      <c r="E5" s="434"/>
      <c r="F5" s="439"/>
      <c r="G5" s="409"/>
      <c r="H5" s="418"/>
      <c r="I5" s="409"/>
      <c r="J5" s="418"/>
      <c r="K5" s="411" t="s">
        <v>134</v>
      </c>
      <c r="L5" s="413"/>
      <c r="M5" s="418"/>
      <c r="N5" s="443"/>
      <c r="O5" s="409"/>
      <c r="P5" s="410"/>
      <c r="Q5" s="411" t="s">
        <v>120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14"/>
      <c r="H83" s="414"/>
      <c r="I83" s="414"/>
      <c r="J83" s="41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06"/>
      <c r="O84" s="406"/>
    </row>
    <row r="85" spans="3:15" ht="15">
      <c r="C85" s="87">
        <v>42397</v>
      </c>
      <c r="D85" s="31">
        <v>8685</v>
      </c>
      <c r="F85" s="124" t="s">
        <v>59</v>
      </c>
      <c r="G85" s="400"/>
      <c r="H85" s="400"/>
      <c r="I85" s="131"/>
      <c r="J85" s="403"/>
      <c r="K85" s="403"/>
      <c r="L85" s="403"/>
      <c r="M85" s="403"/>
      <c r="N85" s="406"/>
      <c r="O85" s="406"/>
    </row>
    <row r="86" spans="3:15" ht="15.75" customHeight="1">
      <c r="C86" s="87">
        <v>42396</v>
      </c>
      <c r="D86" s="31">
        <v>4820.3</v>
      </c>
      <c r="F86" s="73"/>
      <c r="G86" s="400"/>
      <c r="H86" s="400"/>
      <c r="I86" s="131"/>
      <c r="J86" s="407"/>
      <c r="K86" s="407"/>
      <c r="L86" s="407"/>
      <c r="M86" s="407"/>
      <c r="N86" s="406"/>
      <c r="O86" s="406"/>
    </row>
    <row r="87" spans="3:13" ht="15.75" customHeight="1">
      <c r="C87" s="87"/>
      <c r="F87" s="73"/>
      <c r="G87" s="402"/>
      <c r="H87" s="402"/>
      <c r="I87" s="139"/>
      <c r="J87" s="403"/>
      <c r="K87" s="403"/>
      <c r="L87" s="403"/>
      <c r="M87" s="403"/>
    </row>
    <row r="88" spans="2:13" ht="18.75" customHeight="1">
      <c r="B88" s="404" t="s">
        <v>57</v>
      </c>
      <c r="C88" s="405"/>
      <c r="D88" s="148">
        <v>300.92</v>
      </c>
      <c r="E88" s="74"/>
      <c r="F88" s="140"/>
      <c r="G88" s="400"/>
      <c r="H88" s="400"/>
      <c r="I88" s="141"/>
      <c r="J88" s="403"/>
      <c r="K88" s="403"/>
      <c r="L88" s="403"/>
      <c r="M88" s="403"/>
    </row>
    <row r="89" spans="6:12" ht="9.75" customHeight="1">
      <c r="F89" s="73"/>
      <c r="G89" s="400"/>
      <c r="H89" s="400"/>
      <c r="I89" s="73"/>
      <c r="J89" s="74"/>
      <c r="K89" s="74"/>
      <c r="L89" s="74"/>
    </row>
    <row r="90" spans="2:12" ht="22.5" customHeight="1" hidden="1">
      <c r="B90" s="398" t="s">
        <v>60</v>
      </c>
      <c r="C90" s="399"/>
      <c r="D90" s="86">
        <v>0</v>
      </c>
      <c r="E90" s="56" t="s">
        <v>24</v>
      </c>
      <c r="F90" s="73"/>
      <c r="G90" s="400"/>
      <c r="H90" s="40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00"/>
      <c r="O91" s="400"/>
    </row>
    <row r="92" spans="4:15" ht="15">
      <c r="D92" s="83"/>
      <c r="I92" s="31"/>
      <c r="N92" s="401"/>
      <c r="O92" s="401"/>
    </row>
    <row r="93" spans="14:15" ht="15">
      <c r="N93" s="400"/>
      <c r="O93" s="40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21" t="s">
        <v>114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92"/>
      <c r="R1" s="93"/>
    </row>
    <row r="2" spans="2:18" s="1" customFormat="1" ht="15.75" customHeight="1">
      <c r="B2" s="440"/>
      <c r="C2" s="440"/>
      <c r="D2" s="44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23"/>
      <c r="B3" s="425" t="s">
        <v>136</v>
      </c>
      <c r="C3" s="426" t="s">
        <v>0</v>
      </c>
      <c r="D3" s="427" t="s">
        <v>115</v>
      </c>
      <c r="E3" s="34"/>
      <c r="F3" s="428" t="s">
        <v>26</v>
      </c>
      <c r="G3" s="429"/>
      <c r="H3" s="429"/>
      <c r="I3" s="429"/>
      <c r="J3" s="430"/>
      <c r="K3" s="89"/>
      <c r="L3" s="89"/>
      <c r="M3" s="441" t="s">
        <v>107</v>
      </c>
      <c r="N3" s="432" t="s">
        <v>66</v>
      </c>
      <c r="O3" s="432"/>
      <c r="P3" s="432"/>
      <c r="Q3" s="432"/>
      <c r="R3" s="432"/>
    </row>
    <row r="4" spans="1:18" ht="22.5" customHeight="1">
      <c r="A4" s="423"/>
      <c r="B4" s="425"/>
      <c r="C4" s="426"/>
      <c r="D4" s="427"/>
      <c r="E4" s="433" t="s">
        <v>104</v>
      </c>
      <c r="F4" s="444" t="s">
        <v>34</v>
      </c>
      <c r="G4" s="408" t="s">
        <v>109</v>
      </c>
      <c r="H4" s="417" t="s">
        <v>110</v>
      </c>
      <c r="I4" s="408" t="s">
        <v>105</v>
      </c>
      <c r="J4" s="417" t="s">
        <v>106</v>
      </c>
      <c r="K4" s="91" t="s">
        <v>65</v>
      </c>
      <c r="L4" s="96" t="s">
        <v>64</v>
      </c>
      <c r="M4" s="417"/>
      <c r="N4" s="442" t="s">
        <v>103</v>
      </c>
      <c r="O4" s="408" t="s">
        <v>50</v>
      </c>
      <c r="P4" s="410" t="s">
        <v>49</v>
      </c>
      <c r="Q4" s="97" t="s">
        <v>65</v>
      </c>
      <c r="R4" s="98" t="s">
        <v>64</v>
      </c>
    </row>
    <row r="5" spans="1:18" ht="76.5" customHeight="1">
      <c r="A5" s="424"/>
      <c r="B5" s="425"/>
      <c r="C5" s="426"/>
      <c r="D5" s="427"/>
      <c r="E5" s="434"/>
      <c r="F5" s="445"/>
      <c r="G5" s="409"/>
      <c r="H5" s="418"/>
      <c r="I5" s="409"/>
      <c r="J5" s="418"/>
      <c r="K5" s="411" t="s">
        <v>108</v>
      </c>
      <c r="L5" s="413"/>
      <c r="M5" s="418"/>
      <c r="N5" s="443"/>
      <c r="O5" s="409"/>
      <c r="P5" s="410"/>
      <c r="Q5" s="411" t="s">
        <v>126</v>
      </c>
      <c r="R5" s="4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14"/>
      <c r="H82" s="414"/>
      <c r="I82" s="414"/>
      <c r="J82" s="41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06"/>
      <c r="O83" s="406"/>
    </row>
    <row r="84" spans="3:15" ht="15">
      <c r="C84" s="87">
        <v>42397</v>
      </c>
      <c r="D84" s="31">
        <v>8685</v>
      </c>
      <c r="F84" s="166" t="s">
        <v>59</v>
      </c>
      <c r="G84" s="400"/>
      <c r="H84" s="400"/>
      <c r="I84" s="131"/>
      <c r="J84" s="403"/>
      <c r="K84" s="403"/>
      <c r="L84" s="403"/>
      <c r="M84" s="403"/>
      <c r="N84" s="406"/>
      <c r="O84" s="406"/>
    </row>
    <row r="85" spans="3:15" ht="15.75" customHeight="1">
      <c r="C85" s="87">
        <v>42396</v>
      </c>
      <c r="D85" s="31">
        <v>4820.3</v>
      </c>
      <c r="F85" s="167"/>
      <c r="G85" s="400"/>
      <c r="H85" s="400"/>
      <c r="I85" s="131"/>
      <c r="J85" s="407"/>
      <c r="K85" s="407"/>
      <c r="L85" s="407"/>
      <c r="M85" s="407"/>
      <c r="N85" s="406"/>
      <c r="O85" s="406"/>
    </row>
    <row r="86" spans="3:13" ht="15.75" customHeight="1">
      <c r="C86" s="87"/>
      <c r="F86" s="167"/>
      <c r="G86" s="402"/>
      <c r="H86" s="402"/>
      <c r="I86" s="139"/>
      <c r="J86" s="403"/>
      <c r="K86" s="403"/>
      <c r="L86" s="403"/>
      <c r="M86" s="403"/>
    </row>
    <row r="87" spans="2:13" ht="18.75" customHeight="1">
      <c r="B87" s="404" t="s">
        <v>57</v>
      </c>
      <c r="C87" s="405"/>
      <c r="D87" s="148">
        <v>300.92</v>
      </c>
      <c r="E87" s="74"/>
      <c r="F87" s="168"/>
      <c r="G87" s="400"/>
      <c r="H87" s="400"/>
      <c r="I87" s="141"/>
      <c r="J87" s="403"/>
      <c r="K87" s="403"/>
      <c r="L87" s="403"/>
      <c r="M87" s="403"/>
    </row>
    <row r="88" spans="6:12" ht="9.75" customHeight="1">
      <c r="F88" s="167"/>
      <c r="G88" s="400"/>
      <c r="H88" s="400"/>
      <c r="I88" s="73"/>
      <c r="J88" s="74"/>
      <c r="K88" s="74"/>
      <c r="L88" s="74"/>
    </row>
    <row r="89" spans="2:12" ht="22.5" customHeight="1" hidden="1">
      <c r="B89" s="398" t="s">
        <v>60</v>
      </c>
      <c r="C89" s="399"/>
      <c r="D89" s="86">
        <v>0</v>
      </c>
      <c r="E89" s="56" t="s">
        <v>24</v>
      </c>
      <c r="F89" s="167"/>
      <c r="G89" s="400"/>
      <c r="H89" s="40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00"/>
      <c r="O90" s="400"/>
    </row>
    <row r="91" spans="4:15" ht="15">
      <c r="D91" s="83"/>
      <c r="I91" s="31"/>
      <c r="N91" s="401"/>
      <c r="O91" s="401"/>
    </row>
    <row r="92" spans="14:15" ht="15">
      <c r="N92" s="400"/>
      <c r="O92" s="40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2016-07-27T12:29:35Z</cp:lastPrinted>
  <dcterms:created xsi:type="dcterms:W3CDTF">2003-07-28T11:27:56Z</dcterms:created>
  <dcterms:modified xsi:type="dcterms:W3CDTF">2016-07-27T12:42:47Z</dcterms:modified>
  <cp:category/>
  <cp:version/>
  <cp:contentType/>
  <cp:contentStatus/>
</cp:coreProperties>
</file>